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alcaldiavillamontellano-my.sharepoint.com/personal/compras_alcaldiavillamontellano_com/Documents/Escritorio/DGCP/COMPARACION DE PRECIOS/AVMLL-CCC-CP-2026-0002/"/>
    </mc:Choice>
  </mc:AlternateContent>
  <xr:revisionPtr revIDLastSave="4" documentId="11_71F4A9B44BA453F6E23025C0BBA20BCF2A035995" xr6:coauthVersionLast="47" xr6:coauthVersionMax="47" xr10:uidLastSave="{FB1B53E4-92CC-4473-BC8F-733DBF726D84}"/>
  <bookViews>
    <workbookView xWindow="-108" yWindow="-108" windowWidth="20376" windowHeight="12216" xr2:uid="{00000000-000D-0000-FFFF-FFFF00000000}"/>
  </bookViews>
  <sheets>
    <sheet name="pres. Nuevo Cem. Montellano" sheetId="28" r:id="rId1"/>
    <sheet name="pres. Montellano (REFORMULADO)" sheetId="25" state="hidden" r:id="rId2"/>
    <sheet name="An. Costo Cement. Montellano  " sheetId="27" state="hidden" r:id="rId3"/>
    <sheet name="Ana. Cost. Cementerio" sheetId="29" state="hidden" r:id="rId4"/>
  </sheets>
  <definedNames>
    <definedName name="_xlnm._FilterDatabase" localSheetId="2" hidden="1">'An. Costo Cement. Montellano  '!$B$3:$P$21</definedName>
    <definedName name="_xlnm._FilterDatabase" localSheetId="3" hidden="1">'Ana. Cost. Cementerio'!$B$3:$P$19</definedName>
    <definedName name="_xlnm.Print_Area" localSheetId="2">'An. Costo Cement. Montellano  '!$A$1:$I$118</definedName>
    <definedName name="_xlnm.Print_Area" localSheetId="3">'Ana. Cost. Cementerio'!$A$1:$I$116</definedName>
    <definedName name="_xlnm.Print_Area" localSheetId="0">'pres. Nuevo Cem. Montellano'!$A$1:$I$160</definedName>
    <definedName name="_xlnm.Print_Titles" localSheetId="2">'An. Costo Cement. Montellano  '!$3:$20</definedName>
    <definedName name="_xlnm.Print_Titles" localSheetId="3">'Ana. Cost. Cementerio'!$3:$18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6" i="29" l="1"/>
  <c r="F100" i="29"/>
  <c r="G100" i="29" s="1"/>
  <c r="F97" i="29"/>
  <c r="G97" i="29" s="1"/>
  <c r="G96" i="29"/>
  <c r="F96" i="29"/>
  <c r="G95" i="29"/>
  <c r="F95" i="29"/>
  <c r="G94" i="29"/>
  <c r="F94" i="29"/>
  <c r="G93" i="29"/>
  <c r="F93" i="29"/>
  <c r="G92" i="29"/>
  <c r="F92" i="29"/>
  <c r="F91" i="29"/>
  <c r="C91" i="29"/>
  <c r="G91" i="29" s="1"/>
  <c r="F90" i="29"/>
  <c r="G90" i="29" s="1"/>
  <c r="F89" i="29"/>
  <c r="G89" i="29" s="1"/>
  <c r="F88" i="29"/>
  <c r="G88" i="29" s="1"/>
  <c r="F87" i="29"/>
  <c r="G87" i="29" s="1"/>
  <c r="F86" i="29"/>
  <c r="G86" i="29" s="1"/>
  <c r="H85" i="29" s="1"/>
  <c r="C86" i="29"/>
  <c r="G80" i="29"/>
  <c r="F80" i="29"/>
  <c r="C80" i="29"/>
  <c r="G79" i="29"/>
  <c r="F79" i="29"/>
  <c r="C79" i="29"/>
  <c r="F78" i="29"/>
  <c r="C78" i="29"/>
  <c r="G78" i="29" s="1"/>
  <c r="F77" i="29"/>
  <c r="C77" i="29"/>
  <c r="G77" i="29" s="1"/>
  <c r="G76" i="29"/>
  <c r="F76" i="29"/>
  <c r="F75" i="29"/>
  <c r="C75" i="29"/>
  <c r="G75" i="29" s="1"/>
  <c r="G71" i="29"/>
  <c r="F71" i="29"/>
  <c r="G70" i="29"/>
  <c r="F70" i="29"/>
  <c r="G69" i="29"/>
  <c r="F69" i="29"/>
  <c r="G68" i="29"/>
  <c r="H63" i="29" s="1"/>
  <c r="F68" i="29"/>
  <c r="G67" i="29"/>
  <c r="F67" i="29"/>
  <c r="C67" i="29"/>
  <c r="G66" i="29"/>
  <c r="F66" i="29"/>
  <c r="G65" i="29"/>
  <c r="F65" i="29"/>
  <c r="G64" i="29"/>
  <c r="F64" i="29"/>
  <c r="G61" i="29"/>
  <c r="G60" i="29"/>
  <c r="G59" i="29"/>
  <c r="F58" i="29"/>
  <c r="G58" i="29" s="1"/>
  <c r="H55" i="29" s="1"/>
  <c r="G57" i="29"/>
  <c r="F57" i="29"/>
  <c r="G56" i="29"/>
  <c r="G52" i="29"/>
  <c r="G51" i="29"/>
  <c r="G50" i="29"/>
  <c r="G49" i="29"/>
  <c r="G48" i="29"/>
  <c r="F48" i="29"/>
  <c r="F47" i="29"/>
  <c r="G47" i="29" s="1"/>
  <c r="H39" i="29" s="1"/>
  <c r="G46" i="29"/>
  <c r="G45" i="29"/>
  <c r="G36" i="29"/>
  <c r="G35" i="29"/>
  <c r="G34" i="29"/>
  <c r="G33" i="29"/>
  <c r="H32" i="29"/>
  <c r="G29" i="29"/>
  <c r="G28" i="29"/>
  <c r="G27" i="29"/>
  <c r="G26" i="29"/>
  <c r="G25" i="29"/>
  <c r="G24" i="29"/>
  <c r="G23" i="29"/>
  <c r="G22" i="29"/>
  <c r="H21" i="29" s="1"/>
  <c r="C128" i="27"/>
  <c r="F102" i="27"/>
  <c r="G102" i="27" s="1"/>
  <c r="G99" i="27"/>
  <c r="F99" i="27"/>
  <c r="F98" i="27"/>
  <c r="G98" i="27" s="1"/>
  <c r="G97" i="27"/>
  <c r="F97" i="27"/>
  <c r="F96" i="27"/>
  <c r="G96" i="27" s="1"/>
  <c r="G95" i="27"/>
  <c r="F95" i="27"/>
  <c r="F94" i="27"/>
  <c r="G94" i="27" s="1"/>
  <c r="F93" i="27"/>
  <c r="C93" i="27"/>
  <c r="G93" i="27" s="1"/>
  <c r="G92" i="27"/>
  <c r="F92" i="27"/>
  <c r="F91" i="27"/>
  <c r="G91" i="27" s="1"/>
  <c r="G90" i="27"/>
  <c r="F90" i="27"/>
  <c r="F89" i="27"/>
  <c r="G89" i="27" s="1"/>
  <c r="G88" i="27"/>
  <c r="F88" i="27"/>
  <c r="C88" i="27"/>
  <c r="G82" i="27"/>
  <c r="F82" i="27"/>
  <c r="C82" i="27"/>
  <c r="F81" i="27"/>
  <c r="C81" i="27"/>
  <c r="G81" i="27" s="1"/>
  <c r="F80" i="27"/>
  <c r="C80" i="27"/>
  <c r="G80" i="27" s="1"/>
  <c r="G79" i="27"/>
  <c r="F79" i="27"/>
  <c r="C79" i="27"/>
  <c r="G78" i="27"/>
  <c r="F78" i="27"/>
  <c r="F77" i="27"/>
  <c r="C77" i="27"/>
  <c r="G77" i="27" s="1"/>
  <c r="G73" i="27"/>
  <c r="F73" i="27"/>
  <c r="G72" i="27"/>
  <c r="F72" i="27"/>
  <c r="G71" i="27"/>
  <c r="F71" i="27"/>
  <c r="G70" i="27"/>
  <c r="F70" i="27"/>
  <c r="G69" i="27"/>
  <c r="F69" i="27"/>
  <c r="C69" i="27"/>
  <c r="G68" i="27"/>
  <c r="F68" i="27"/>
  <c r="G67" i="27"/>
  <c r="F67" i="27"/>
  <c r="G66" i="27"/>
  <c r="H65" i="27" s="1"/>
  <c r="F66" i="27"/>
  <c r="G63" i="27"/>
  <c r="G62" i="27"/>
  <c r="G61" i="27"/>
  <c r="F60" i="27"/>
  <c r="G60" i="27" s="1"/>
  <c r="G59" i="27"/>
  <c r="H57" i="27" s="1"/>
  <c r="F32" i="25" s="1"/>
  <c r="F59" i="27"/>
  <c r="G58" i="27"/>
  <c r="G54" i="27"/>
  <c r="G53" i="27"/>
  <c r="G52" i="27"/>
  <c r="G51" i="27"/>
  <c r="G50" i="27"/>
  <c r="F50" i="27"/>
  <c r="F49" i="27"/>
  <c r="G49" i="27" s="1"/>
  <c r="G48" i="27"/>
  <c r="G47" i="27"/>
  <c r="G38" i="27"/>
  <c r="G37" i="27"/>
  <c r="H34" i="27" s="1"/>
  <c r="G36" i="27"/>
  <c r="G35" i="27"/>
  <c r="G31" i="27"/>
  <c r="G30" i="27"/>
  <c r="G29" i="27"/>
  <c r="G28" i="27"/>
  <c r="G27" i="27"/>
  <c r="G26" i="27"/>
  <c r="G25" i="27"/>
  <c r="G24" i="27"/>
  <c r="H23" i="27"/>
  <c r="B124" i="25"/>
  <c r="B125" i="25" s="1"/>
  <c r="B126" i="25" s="1"/>
  <c r="B127" i="25" s="1"/>
  <c r="B128" i="25" s="1"/>
  <c r="B129" i="25" s="1"/>
  <c r="B123" i="25"/>
  <c r="B122" i="25"/>
  <c r="G113" i="25"/>
  <c r="B113" i="25"/>
  <c r="G112" i="25"/>
  <c r="B112" i="25"/>
  <c r="G111" i="25"/>
  <c r="H115" i="25" s="1"/>
  <c r="G105" i="25"/>
  <c r="G104" i="25"/>
  <c r="G103" i="25"/>
  <c r="D103" i="25"/>
  <c r="D102" i="25"/>
  <c r="G102" i="25" s="1"/>
  <c r="G100" i="25"/>
  <c r="F97" i="25"/>
  <c r="G97" i="25" s="1"/>
  <c r="F96" i="25"/>
  <c r="G96" i="25" s="1"/>
  <c r="D96" i="25"/>
  <c r="F95" i="25"/>
  <c r="G95" i="25" s="1"/>
  <c r="D95" i="25"/>
  <c r="F94" i="25"/>
  <c r="G94" i="25" s="1"/>
  <c r="B94" i="25"/>
  <c r="B95" i="25" s="1"/>
  <c r="B96" i="25" s="1"/>
  <c r="B97" i="25" s="1"/>
  <c r="B98" i="25" s="1"/>
  <c r="B99" i="25" s="1"/>
  <c r="B100" i="25" s="1"/>
  <c r="B93" i="25"/>
  <c r="F85" i="25"/>
  <c r="G85" i="25" s="1"/>
  <c r="D85" i="25"/>
  <c r="F84" i="25"/>
  <c r="G84" i="25" s="1"/>
  <c r="D84" i="25"/>
  <c r="F83" i="25"/>
  <c r="G83" i="25" s="1"/>
  <c r="D83" i="25"/>
  <c r="B83" i="25"/>
  <c r="B84" i="25" s="1"/>
  <c r="B85" i="25" s="1"/>
  <c r="B86" i="25" s="1"/>
  <c r="B87" i="25" s="1"/>
  <c r="D82" i="25"/>
  <c r="G82" i="25" s="1"/>
  <c r="B82" i="25"/>
  <c r="B81" i="25"/>
  <c r="F72" i="25"/>
  <c r="F71" i="25"/>
  <c r="G70" i="25"/>
  <c r="F70" i="25"/>
  <c r="D70" i="25"/>
  <c r="G69" i="25"/>
  <c r="F69" i="25"/>
  <c r="D69" i="25"/>
  <c r="D72" i="25" s="1"/>
  <c r="G72" i="25" s="1"/>
  <c r="B69" i="25"/>
  <c r="B70" i="25" s="1"/>
  <c r="B71" i="25" s="1"/>
  <c r="B72" i="25" s="1"/>
  <c r="B73" i="25" s="1"/>
  <c r="B74" i="25" s="1"/>
  <c r="G68" i="25"/>
  <c r="F68" i="25"/>
  <c r="F81" i="25" s="1"/>
  <c r="B68" i="25"/>
  <c r="F67" i="25"/>
  <c r="G67" i="25" s="1"/>
  <c r="G62" i="25"/>
  <c r="G61" i="25"/>
  <c r="G60" i="25"/>
  <c r="G59" i="25"/>
  <c r="G58" i="25"/>
  <c r="G57" i="25"/>
  <c r="G56" i="25"/>
  <c r="G55" i="25"/>
  <c r="G54" i="25"/>
  <c r="F53" i="25"/>
  <c r="G53" i="25" s="1"/>
  <c r="G52" i="25"/>
  <c r="G51" i="25"/>
  <c r="G50" i="25"/>
  <c r="F43" i="25"/>
  <c r="G43" i="25" s="1"/>
  <c r="G42" i="25"/>
  <c r="G41" i="25"/>
  <c r="G40" i="25"/>
  <c r="G35" i="25"/>
  <c r="D34" i="25"/>
  <c r="G34" i="25" s="1"/>
  <c r="G33" i="25"/>
  <c r="G30" i="25"/>
  <c r="G29" i="25"/>
  <c r="B29" i="25"/>
  <c r="B30" i="25" s="1"/>
  <c r="B31" i="25" s="1"/>
  <c r="B32" i="25" s="1"/>
  <c r="B33" i="25" s="1"/>
  <c r="B34" i="25" s="1"/>
  <c r="D28" i="25"/>
  <c r="G28" i="25" s="1"/>
  <c r="B28" i="25"/>
  <c r="G27" i="25"/>
  <c r="B27" i="25"/>
  <c r="H22" i="25"/>
  <c r="G21" i="25"/>
  <c r="G20" i="25"/>
  <c r="B20" i="25"/>
  <c r="B21" i="25" s="1"/>
  <c r="G19" i="25"/>
  <c r="B131" i="28"/>
  <c r="B132" i="28" s="1"/>
  <c r="B133" i="28" s="1"/>
  <c r="B134" i="28" s="1"/>
  <c r="B135" i="28" s="1"/>
  <c r="B136" i="28" s="1"/>
  <c r="B137" i="28" s="1"/>
  <c r="B130" i="28"/>
  <c r="G117" i="28"/>
  <c r="G116" i="28"/>
  <c r="G115" i="28"/>
  <c r="H121" i="28" s="1"/>
  <c r="G102" i="28"/>
  <c r="G101" i="28"/>
  <c r="H104" i="28" s="1"/>
  <c r="G95" i="28"/>
  <c r="G94" i="28"/>
  <c r="G93" i="28"/>
  <c r="D92" i="28"/>
  <c r="G92" i="28" s="1"/>
  <c r="D91" i="28"/>
  <c r="G91" i="28" s="1"/>
  <c r="G90" i="28"/>
  <c r="G89" i="28"/>
  <c r="D88" i="28"/>
  <c r="G88" i="28" s="1"/>
  <c r="D87" i="28"/>
  <c r="G87" i="28" s="1"/>
  <c r="D86" i="28"/>
  <c r="G86" i="28" s="1"/>
  <c r="G85" i="28"/>
  <c r="G84" i="28"/>
  <c r="G83" i="28"/>
  <c r="G82" i="28"/>
  <c r="D81" i="28"/>
  <c r="G81" i="28" s="1"/>
  <c r="B81" i="28"/>
  <c r="B82" i="28" s="1"/>
  <c r="D80" i="28"/>
  <c r="G80" i="28" s="1"/>
  <c r="G79" i="28"/>
  <c r="D79" i="28"/>
  <c r="D78" i="28"/>
  <c r="G78" i="28" s="1"/>
  <c r="D77" i="28"/>
  <c r="G77" i="28" s="1"/>
  <c r="B77" i="28"/>
  <c r="B78" i="28" s="1"/>
  <c r="B79" i="28" s="1"/>
  <c r="B80" i="28" s="1"/>
  <c r="B76" i="28"/>
  <c r="G75" i="28"/>
  <c r="D75" i="28"/>
  <c r="B75" i="28"/>
  <c r="D74" i="28"/>
  <c r="G67" i="28"/>
  <c r="D66" i="28"/>
  <c r="G66" i="28" s="1"/>
  <c r="G65" i="28"/>
  <c r="G64" i="28"/>
  <c r="G58" i="28"/>
  <c r="D57" i="28"/>
  <c r="G57" i="28" s="1"/>
  <c r="G56" i="28"/>
  <c r="D55" i="28"/>
  <c r="G55" i="28" s="1"/>
  <c r="D54" i="28"/>
  <c r="G54" i="28" s="1"/>
  <c r="D53" i="28"/>
  <c r="G53" i="28" s="1"/>
  <c r="G52" i="28"/>
  <c r="G51" i="28"/>
  <c r="G50" i="28"/>
  <c r="D49" i="28"/>
  <c r="G49" i="28" s="1"/>
  <c r="B49" i="28"/>
  <c r="B50" i="28" s="1"/>
  <c r="B51" i="28" s="1"/>
  <c r="B52" i="28" s="1"/>
  <c r="B53" i="28" s="1"/>
  <c r="B54" i="28" s="1"/>
  <c r="B55" i="28" s="1"/>
  <c r="B56" i="28" s="1"/>
  <c r="B57" i="28" s="1"/>
  <c r="B58" i="28" s="1"/>
  <c r="D48" i="28"/>
  <c r="G48" i="28" s="1"/>
  <c r="B48" i="28"/>
  <c r="B47" i="28"/>
  <c r="D46" i="28"/>
  <c r="G46" i="28" s="1"/>
  <c r="B46" i="28"/>
  <c r="D45" i="28"/>
  <c r="D40" i="28"/>
  <c r="G40" i="28" s="1"/>
  <c r="G39" i="28"/>
  <c r="D39" i="28"/>
  <c r="D38" i="28"/>
  <c r="G38" i="28" s="1"/>
  <c r="H42" i="28" s="1"/>
  <c r="G37" i="28"/>
  <c r="B37" i="28"/>
  <c r="B38" i="28" s="1"/>
  <c r="B39" i="28" s="1"/>
  <c r="B40" i="28" s="1"/>
  <c r="G36" i="28"/>
  <c r="G30" i="28"/>
  <c r="G29" i="28"/>
  <c r="G28" i="28"/>
  <c r="G27" i="28"/>
  <c r="G26" i="28"/>
  <c r="B26" i="28"/>
  <c r="B27" i="28" s="1"/>
  <c r="B28" i="28" s="1"/>
  <c r="B29" i="28" s="1"/>
  <c r="B30" i="28" s="1"/>
  <c r="G25" i="28"/>
  <c r="G24" i="28"/>
  <c r="B24" i="28"/>
  <c r="B25" i="28" s="1"/>
  <c r="G23" i="28"/>
  <c r="B23" i="28"/>
  <c r="G22" i="28"/>
  <c r="F74" i="25" l="1"/>
  <c r="G74" i="25" s="1"/>
  <c r="G32" i="25"/>
  <c r="F87" i="25"/>
  <c r="E81" i="29"/>
  <c r="H32" i="28"/>
  <c r="D47" i="28"/>
  <c r="G47" i="28" s="1"/>
  <c r="H70" i="28"/>
  <c r="G74" i="28"/>
  <c r="D76" i="28"/>
  <c r="G76" i="28" s="1"/>
  <c r="G81" i="25"/>
  <c r="F93" i="25"/>
  <c r="G93" i="25" s="1"/>
  <c r="H41" i="27"/>
  <c r="F31" i="25" s="1"/>
  <c r="H63" i="25"/>
  <c r="E83" i="27"/>
  <c r="H87" i="27"/>
  <c r="F26" i="25" s="1"/>
  <c r="G45" i="28"/>
  <c r="H60" i="28" s="1"/>
  <c r="D71" i="25"/>
  <c r="G71" i="25" s="1"/>
  <c r="F101" i="25"/>
  <c r="G101" i="25" s="1"/>
  <c r="F106" i="25"/>
  <c r="G106" i="25" s="1"/>
  <c r="F86" i="25" l="1"/>
  <c r="F73" i="25"/>
  <c r="G73" i="25" s="1"/>
  <c r="H76" i="25" s="1"/>
  <c r="G31" i="25"/>
  <c r="H98" i="28"/>
  <c r="H125" i="28" s="1"/>
  <c r="G81" i="29"/>
  <c r="H73" i="29" s="1"/>
  <c r="F81" i="29"/>
  <c r="G83" i="27"/>
  <c r="H75" i="27" s="1"/>
  <c r="F83" i="27"/>
  <c r="F80" i="25"/>
  <c r="F44" i="25"/>
  <c r="G44" i="25" s="1"/>
  <c r="H45" i="25" s="1"/>
  <c r="G26" i="25"/>
  <c r="H37" i="25" s="1"/>
  <c r="G87" i="25"/>
  <c r="F99" i="25"/>
  <c r="G99" i="25" s="1"/>
  <c r="G80" i="25" l="1"/>
  <c r="F92" i="25"/>
  <c r="G92" i="25" s="1"/>
  <c r="F98" i="25"/>
  <c r="G98" i="25" s="1"/>
  <c r="G86" i="25"/>
  <c r="F135" i="28"/>
  <c r="G135" i="28" s="1"/>
  <c r="F131" i="28"/>
  <c r="G131" i="28" s="1"/>
  <c r="F136" i="28"/>
  <c r="G136" i="28" s="1"/>
  <c r="F132" i="28"/>
  <c r="F133" i="28"/>
  <c r="G133" i="28" s="1"/>
  <c r="F129" i="28"/>
  <c r="G129" i="28" s="1"/>
  <c r="F134" i="28"/>
  <c r="G134" i="28" s="1"/>
  <c r="F130" i="28"/>
  <c r="G130" i="28" s="1"/>
  <c r="G132" i="28" l="1"/>
  <c r="F137" i="28"/>
  <c r="G137" i="28" s="1"/>
  <c r="H139" i="28"/>
  <c r="H142" i="28" s="1"/>
  <c r="H108" i="25"/>
  <c r="H118" i="25" s="1"/>
  <c r="H89" i="25"/>
  <c r="F128" i="25" l="1"/>
  <c r="G128" i="25" s="1"/>
  <c r="F124" i="25"/>
  <c r="G124" i="25" s="1"/>
  <c r="F129" i="25" s="1"/>
  <c r="G129" i="25" s="1"/>
  <c r="F125" i="25"/>
  <c r="G125" i="25" s="1"/>
  <c r="F121" i="25"/>
  <c r="F126" i="25"/>
  <c r="G126" i="25" s="1"/>
  <c r="F127" i="25"/>
  <c r="G127" i="25" s="1"/>
  <c r="G121" i="25" l="1"/>
  <c r="F122" i="25"/>
  <c r="G122" i="25" l="1"/>
  <c r="F123" i="25"/>
  <c r="G123" i="25" s="1"/>
  <c r="H131" i="25" s="1"/>
  <c r="H133" i="25" s="1"/>
</calcChain>
</file>

<file path=xl/sharedStrings.xml><?xml version="1.0" encoding="utf-8"?>
<sst xmlns="http://schemas.openxmlformats.org/spreadsheetml/2006/main" count="781" uniqueCount="273">
  <si>
    <t>AYUNTAMIENTO MUNICIPAL VILLA MONTELLANO</t>
  </si>
  <si>
    <t>PROYECTO: Construccion Nuevo Cementerio Villa Montellano</t>
  </si>
  <si>
    <t>PROPIETARIO: Ayuntamiento Municipal Villa Montellano</t>
  </si>
  <si>
    <t>Solicitado por: Ayuntamiento, Villa Montellano</t>
  </si>
  <si>
    <t>Presupuesto Preliminar.</t>
  </si>
  <si>
    <t xml:space="preserve">Presentado  por : </t>
  </si>
  <si>
    <t>1- Preliminares</t>
  </si>
  <si>
    <t>No.</t>
  </si>
  <si>
    <t>Descripción</t>
  </si>
  <si>
    <t>Cantidad</t>
  </si>
  <si>
    <t>Unidad</t>
  </si>
  <si>
    <t>P.U.</t>
  </si>
  <si>
    <t>Valor</t>
  </si>
  <si>
    <t>Total</t>
  </si>
  <si>
    <t>Suministro y Colocacion de Valla lnformativa  de IO'x5' (Incluye
Tubo Negro de 2" y Perfil de I", lmpresi6n en Vinil)</t>
  </si>
  <si>
    <t>Unds.</t>
  </si>
  <si>
    <t>Brigada topografica</t>
  </si>
  <si>
    <t>Dias</t>
  </si>
  <si>
    <t>Suministro y colocacion de Letreros de Informacion de Obras</t>
  </si>
  <si>
    <t>Caseta Para Materiales</t>
  </si>
  <si>
    <t>Luminarias solares</t>
  </si>
  <si>
    <t>Unids.</t>
  </si>
  <si>
    <t>Tinaco para servicios en construccion</t>
  </si>
  <si>
    <t>Baño portatil</t>
  </si>
  <si>
    <t>Planta Electrica para uso continuo de construccion (Incluye combustible)</t>
  </si>
  <si>
    <t>Pozo Filtrante para agua potable mas bomba sumergible</t>
  </si>
  <si>
    <t>Sub - Total</t>
  </si>
  <si>
    <t>2-Movimiento de Tierra General.</t>
  </si>
  <si>
    <t>Desbrose con equipo</t>
  </si>
  <si>
    <t>m2</t>
  </si>
  <si>
    <t>Extracion Capa Vegetal E=0.20</t>
  </si>
  <si>
    <t>Corte con equipo material inservible E=0.40</t>
  </si>
  <si>
    <t>ml</t>
  </si>
  <si>
    <t>Bote Material Inservible E=.30</t>
  </si>
  <si>
    <t>m3</t>
  </si>
  <si>
    <t>Suministro y compactado Material de Relleno E=0.60</t>
  </si>
  <si>
    <t>3- Verja Perimetral en blocks. Vigas y Columnas</t>
  </si>
  <si>
    <t>Excavacion a mano</t>
  </si>
  <si>
    <t>Relleno de reposicion</t>
  </si>
  <si>
    <t>Bote de Material inservible</t>
  </si>
  <si>
    <t>Zapata de Muro de bloques 6''</t>
  </si>
  <si>
    <t>Zapata de Columnas</t>
  </si>
  <si>
    <t>Suministro y colocacion de bloques Violinado de 6''</t>
  </si>
  <si>
    <t>Puerta vehicular en hierro</t>
  </si>
  <si>
    <t>Puerta peatonal en hierro</t>
  </si>
  <si>
    <t>Columna de amarre (20*20)</t>
  </si>
  <si>
    <t>Viga de amarre (20*20)</t>
  </si>
  <si>
    <t>Pañete en vigas y columnas</t>
  </si>
  <si>
    <t>Fraqguache con llana</t>
  </si>
  <si>
    <t>Pintura Acrilica</t>
  </si>
  <si>
    <t>Suministro y colocaciom alambre trinchera</t>
  </si>
  <si>
    <t>4-Calles Internas</t>
  </si>
  <si>
    <t>Asfalto en calles Internas</t>
  </si>
  <si>
    <t>Señalizacion</t>
  </si>
  <si>
    <t>pa</t>
  </si>
  <si>
    <t>Contenes</t>
  </si>
  <si>
    <t>Aceras</t>
  </si>
  <si>
    <t>Perforacion de pozo filtrante</t>
  </si>
  <si>
    <t>5-Capilla y Oficina administrativa</t>
  </si>
  <si>
    <t>Columnas</t>
  </si>
  <si>
    <t xml:space="preserve">Vigas </t>
  </si>
  <si>
    <t>Pozo septico</t>
  </si>
  <si>
    <t>Filtrante</t>
  </si>
  <si>
    <t>Chapapote para pisos</t>
  </si>
  <si>
    <t>Pisos porcelanato</t>
  </si>
  <si>
    <t>Zocalos para pisos</t>
  </si>
  <si>
    <t>Puertas Polimetal</t>
  </si>
  <si>
    <t>Ventanas de aluminio</t>
  </si>
  <si>
    <t>Puertas y protectores de ventana</t>
  </si>
  <si>
    <t>Electrica en general incluye panel solar</t>
  </si>
  <si>
    <t>Hidraulica (aguas negras, pluvial y residuales)</t>
  </si>
  <si>
    <t>Cisterna</t>
  </si>
  <si>
    <t>6-Nichos y fosa comun.</t>
  </si>
  <si>
    <t>Construccion de 60 nichos adultos y 20 nichos infante</t>
  </si>
  <si>
    <t xml:space="preserve">Construccion Fosa Comun </t>
  </si>
  <si>
    <t>67Limpieza Final</t>
  </si>
  <si>
    <t>Limpieza Continua y Final</t>
  </si>
  <si>
    <t>Transporte de Equipos Pesado</t>
  </si>
  <si>
    <t>Camiones de aguas para la construccion</t>
  </si>
  <si>
    <t>Sub Total General</t>
  </si>
  <si>
    <t>7 Gastos Indirectos</t>
  </si>
  <si>
    <t>Seguros y Fianzas</t>
  </si>
  <si>
    <t>%</t>
  </si>
  <si>
    <t>Gastos Administrativos</t>
  </si>
  <si>
    <t>Transporte</t>
  </si>
  <si>
    <t>Direccion Tecnica</t>
  </si>
  <si>
    <t>Supervision</t>
  </si>
  <si>
    <t>Ley 686</t>
  </si>
  <si>
    <t>Codia</t>
  </si>
  <si>
    <t>Imprevisto</t>
  </si>
  <si>
    <t>Itbis Direccion Tecnica</t>
  </si>
  <si>
    <t>Sub Gastos Indirectos</t>
  </si>
  <si>
    <t>Total General</t>
  </si>
  <si>
    <t>Nombre y Sello</t>
  </si>
  <si>
    <t>ING. EDUARDO DE LEON BALBUENA</t>
  </si>
  <si>
    <t>Calle 23 No.4, Valle Verde I, Santiago. Rep. Dom</t>
  </si>
  <si>
    <t>RNC: 031-0124540-9  Tel. (809) 399-1763</t>
  </si>
  <si>
    <t>Codia:19410</t>
  </si>
  <si>
    <t xml:space="preserve"> Mail:. ing.eduardodeleon@gmail.com</t>
  </si>
  <si>
    <t>PRESUPUESTO REFORMULADO</t>
  </si>
  <si>
    <t>PROYECTO: CONTINUIDAD CON LA CONSTRUCCIÓN DEL DRENAJE PLUVIAL DEL ÁREA DEL HOSPITAL DEL BARRIO NUEVO (LLANURAS DEL SOL) VILLA MONTELLANO, Referencia No. AVMLL-MAE-PEUR-2025-0001</t>
  </si>
  <si>
    <t>DIRECCION: Barrrio  Nuevo ( Llanura del Sol) Villa Montellano, Puerto Plata, R.D.</t>
  </si>
  <si>
    <t>PRESUPUESTO: Construccion de Imbornales, Cunetas,Alcantarillas,Registo,saneamiento de cuneta, Contenes, Aceras, otras.</t>
  </si>
  <si>
    <t>Presentado  por : Ing. Eduardo De Leon</t>
  </si>
  <si>
    <t>1 Preliminares</t>
  </si>
  <si>
    <t>2 Barrio Nuevo Hospital Municipal (Calle Dr. Valenzuela)</t>
  </si>
  <si>
    <t>Construccion de registro e imbornal en calle (Hospital) (1.50x1.50*1.80) incluye regillas de acero.</t>
  </si>
  <si>
    <t>Suministro e instalacion de tuberias de 24'' Cemento</t>
  </si>
  <si>
    <t>Excavacion con equipo</t>
  </si>
  <si>
    <t>Asiento de arrena</t>
  </si>
  <si>
    <t>Limpieza de Alcantarilla de Cajon con obreros</t>
  </si>
  <si>
    <t>Limpieza Tuberias de 24''</t>
  </si>
  <si>
    <t>Suministro y compactado Material de Relleno</t>
  </si>
  <si>
    <t>2-(i) Aumento de cantidades Bario Llanuras del Sol</t>
  </si>
  <si>
    <t>a)</t>
  </si>
  <si>
    <t>b)</t>
  </si>
  <si>
    <t>d)</t>
  </si>
  <si>
    <t>e)</t>
  </si>
  <si>
    <t>f)</t>
  </si>
  <si>
    <t>Construccion de registro e imbornal Calle Bolon /Otras. (1.50x1.50*1.80) incluye regillas de acero.</t>
  </si>
  <si>
    <t>2-(ii) Partidas Nueva, Barrio Lanuras Del Sol</t>
  </si>
  <si>
    <t>Confeccion de Huecos y tapado en canaleta principal.</t>
  </si>
  <si>
    <t>Suministro y Colocacion de tuberias de 4'' pvc de desague en area Hospital</t>
  </si>
  <si>
    <t>Construccion de Reservoriuo en Terreno del Ingenio para recolectar agua pluvial (CEA)</t>
  </si>
  <si>
    <t>Remozamiento y construccion de Acometidas de 3/4'' pvc.</t>
  </si>
  <si>
    <t>g)</t>
  </si>
  <si>
    <t>Remozamiento y construccion de Acometidas de 1/2'' pvc.</t>
  </si>
  <si>
    <t>h)</t>
  </si>
  <si>
    <t>Remozamiento y construccion de Acometidas de 2'' pvc.</t>
  </si>
  <si>
    <t>i)</t>
  </si>
  <si>
    <t>Conexion Clan metalico de 2''</t>
  </si>
  <si>
    <t>j)</t>
  </si>
  <si>
    <t>Limpieza de Registro e imbornal existente en calles principales</t>
  </si>
  <si>
    <t>k)</t>
  </si>
  <si>
    <t>Construccion de Pariilas de acero en Registro existente</t>
  </si>
  <si>
    <t>l)</t>
  </si>
  <si>
    <t>Tapas de registro existente</t>
  </si>
  <si>
    <t>m)</t>
  </si>
  <si>
    <t>Suministro e instalacion Tubería PVC de 8".</t>
  </si>
  <si>
    <t>ML</t>
  </si>
  <si>
    <t>n)</t>
  </si>
  <si>
    <t>Colocacion Tubería de hormigón 24''</t>
  </si>
  <si>
    <t>ñ)</t>
  </si>
  <si>
    <t>Corte con equipo de material inservible</t>
  </si>
  <si>
    <t>3 Barrio Caballeriza (Calle Joaquin Balaguer)</t>
  </si>
  <si>
    <t>Asiento de arena</t>
  </si>
  <si>
    <t>4 Barrio Caballeriza (Calle Farmacia GBC/Joaquin Balaguer)</t>
  </si>
  <si>
    <t>Construccion de registro e imbornal en Joaquin Balaguer/Farmacia GBC. (1.50x1.50*1.80) incluye regillas de acero.</t>
  </si>
  <si>
    <t>5 Calle Bolon/Otras</t>
  </si>
  <si>
    <t>Construcccion de Registro (1.5*1.5*1.80) Calles perpendiculares Bolon</t>
  </si>
  <si>
    <t>M3</t>
  </si>
  <si>
    <t>Bote de Material inservible ( producto de excavaciones)</t>
  </si>
  <si>
    <t>Suministro y compactado Material de Relleno (Para Excavaciones)</t>
  </si>
  <si>
    <t>Uso de Equipo Motoniveladora (Gredar)</t>
  </si>
  <si>
    <t>Hrs.</t>
  </si>
  <si>
    <t>Material de relleno en calles (Regado y Compactado)</t>
  </si>
  <si>
    <t>Demolicion de Hormigon Armado en Canaleta con Equipo</t>
  </si>
  <si>
    <t>Construccion de Losa de H.A. en canaleta</t>
  </si>
  <si>
    <t>Construccion de Canaleta Nueva H.A.</t>
  </si>
  <si>
    <t>Uso de Equipo Retro Pala (Limpieza Canaleta en Calle Principal)</t>
  </si>
  <si>
    <t>Bote de Material inservible en Canaleta</t>
  </si>
  <si>
    <t>6 Limpieza Final</t>
  </si>
  <si>
    <t>Uso de Planta Electrica (Renta)</t>
  </si>
  <si>
    <t>Ing. Eduardo De Leon Balbuena</t>
  </si>
  <si>
    <t>Ing. Onesimo Roger</t>
  </si>
  <si>
    <t>Contratista.</t>
  </si>
  <si>
    <t>Aprobado Supervison</t>
  </si>
  <si>
    <t xml:space="preserve">NOTA: </t>
  </si>
  <si>
    <t>1: Estas partidas pueden variar segun cambios " In Situ" (Variacion en Cambio de Diseños o certificados de medicion).</t>
  </si>
  <si>
    <t>2-Taza de referencia del dolar USA: $60.00</t>
  </si>
  <si>
    <t>PROYECTO:Construccion Nuevo Cementerio Villa Montellano</t>
  </si>
  <si>
    <t>Propietario: Ayuntamiento Municipal Villa Montellano</t>
  </si>
  <si>
    <t>Direcccion: Sector Caraballo- Mozovi, Villa Montellano, Puerto Plata, R.D.</t>
  </si>
  <si>
    <t>Presupuesto: Construccion de Nuevo Cementerio Municipal de Villa Montellano</t>
  </si>
  <si>
    <t>Analisis de costos Preliminar.</t>
  </si>
  <si>
    <t>DESCRIPCION</t>
  </si>
  <si>
    <t>CANTIDAD</t>
  </si>
  <si>
    <t>PU.</t>
  </si>
  <si>
    <t>P.U. + ITBIS</t>
  </si>
  <si>
    <t>VALOR RD$</t>
  </si>
  <si>
    <t>Relleno caliche y arena o cascajo (con equipo ligero)</t>
  </si>
  <si>
    <t>Compactador Percutor Menegotti RAM68H (Maquito o Bailarina)</t>
  </si>
  <si>
    <t>hr</t>
  </si>
  <si>
    <t>Transp. Mínimo Sto. Dgo.</t>
  </si>
  <si>
    <t>Caliche fino + 30 % abult. + 3% desp.</t>
  </si>
  <si>
    <t>Cascajo de mina + 15% abult. + 3%</t>
  </si>
  <si>
    <t>Agua, camión 2,500 gls.</t>
  </si>
  <si>
    <t>gl</t>
  </si>
  <si>
    <t>Oper. 2da., ALBAÑIL (OP2AL), Apisonamiento. (1 OP2=19.76 m3/día)</t>
  </si>
  <si>
    <t>día</t>
  </si>
  <si>
    <t>Técn. no calif., ALBAÑIL (TNCAL), Regar, mojar (1 TNC=19.76 m3/día)</t>
  </si>
  <si>
    <t>Técn. no calif., ALBAÑIL (TNCAL), Trasl. Mat. (1 TNC=4.00 m3/día)</t>
  </si>
  <si>
    <t>Canaletas de Muros Hor. Armado.210 kg/cm², 60, 1/2" x 20' a .20 a.d., 2 caras</t>
  </si>
  <si>
    <t>Acero grado 60, 1/2" x 20' + 10% desp.</t>
  </si>
  <si>
    <t>qq</t>
  </si>
  <si>
    <t>M.O. Coloc. acero alta resistencia</t>
  </si>
  <si>
    <t>ENCOFRADO, espesor = 0.2 m.</t>
  </si>
  <si>
    <t>Horm. 210 kg/cm² + 10% desp.</t>
  </si>
  <si>
    <t>CONTÉN (Telford)</t>
  </si>
  <si>
    <t>Ml</t>
  </si>
  <si>
    <t>Área de sección:  0.10 m2</t>
  </si>
  <si>
    <t>Volumen/metro: 0.10 m3</t>
  </si>
  <si>
    <t>Vol. analizado: 1.0 m3</t>
  </si>
  <si>
    <t>Longitud total: 10 ml</t>
  </si>
  <si>
    <t>Pino amer. 1"x 4"x12' bruto (4 pt) (110 p2/10 usos) + 10% desp.</t>
  </si>
  <si>
    <t>pt</t>
  </si>
  <si>
    <t>Clavo corriente, metalizado con cabeza 2 1/2"x10, (5 lb./ 100 pie madera)</t>
  </si>
  <si>
    <t>lb</t>
  </si>
  <si>
    <t>Hormigón (1:3:5) a mano + 2% desp.</t>
  </si>
  <si>
    <t>Hormigón (1:3:5) a mano + 85% de piedras, 0.15 m. espesor + 10% desp.</t>
  </si>
  <si>
    <t>Grava triturada 3/4" - 1/2" triturada (Transporte incluido) + 85% de piedras, 0.15 m. espesor + 10% desp.</t>
  </si>
  <si>
    <t>Mortero 1:2 para pulido (enlucido imperm.)</t>
  </si>
  <si>
    <t>M.O. Base para contenes Telford con mezcla</t>
  </si>
  <si>
    <t>M.O. Contén de 55x30x15 cm</t>
  </si>
  <si>
    <t>m</t>
  </si>
  <si>
    <t>Acera frotada y violinada</t>
  </si>
  <si>
    <t>M.O. Prep. superficie p/colocar piso (Terreno)</t>
  </si>
  <si>
    <t>Hormigón (1:3:5) a mano + 5% desp.</t>
  </si>
  <si>
    <t>Mortero 1:4 para empañete + 5% desp.</t>
  </si>
  <si>
    <t>Regla para empañete (Preparada) (1 de 1 x 4 x 2.62/10 usos)</t>
  </si>
  <si>
    <t>M.O. Const. acera frot., viol., .10 m. esp., coloc. horm. + 5% desp.</t>
  </si>
  <si>
    <t>Cantos laterales</t>
  </si>
  <si>
    <t>BLOCK DE 6" CON Ø 3/8" @ 0.80 M</t>
  </si>
  <si>
    <t>M2.</t>
  </si>
  <si>
    <t xml:space="preserve">BLOCK DE 6" </t>
  </si>
  <si>
    <t>UNS.</t>
  </si>
  <si>
    <t>MORTERO</t>
  </si>
  <si>
    <t>HORMIGON EN CAMARA</t>
  </si>
  <si>
    <t xml:space="preserve">ACERO 3/8" </t>
  </si>
  <si>
    <t>QQ</t>
  </si>
  <si>
    <t>ANDAMIOS</t>
  </si>
  <si>
    <t>CORTE Y AMARRE ACERE</t>
  </si>
  <si>
    <t>LLENADO HUECO</t>
  </si>
  <si>
    <t>COLOCACION BLOQUES</t>
  </si>
  <si>
    <t>LOSA DE HORMIGON ARMADO  12 CM. DE ESPESOR</t>
  </si>
  <si>
    <t>M3.</t>
  </si>
  <si>
    <t>HORMIGON F'C 210 KG/CM2.</t>
  </si>
  <si>
    <t>ACERO  Ø3/8 @ 0.25M a.d</t>
  </si>
  <si>
    <t>ALAMBRE</t>
  </si>
  <si>
    <t>LB.</t>
  </si>
  <si>
    <t>M.D.O ACER.</t>
  </si>
  <si>
    <t>Guardera</t>
  </si>
  <si>
    <t>MADERA</t>
  </si>
  <si>
    <t>DESPERDICIO</t>
  </si>
  <si>
    <t>IMBORNAL</t>
  </si>
  <si>
    <t xml:space="preserve">Excavacion </t>
  </si>
  <si>
    <t>m3n</t>
  </si>
  <si>
    <t>Relleno compacto a mano</t>
  </si>
  <si>
    <t>m3C</t>
  </si>
  <si>
    <t>Bote de Material sobrante</t>
  </si>
  <si>
    <t>m3E</t>
  </si>
  <si>
    <t>Hormigon en losa de fondo</t>
  </si>
  <si>
    <t>Hormigon en Losa de techo</t>
  </si>
  <si>
    <t>Hormigon en Muros</t>
  </si>
  <si>
    <t>Panete Pulido</t>
  </si>
  <si>
    <t>M2</t>
  </si>
  <si>
    <t>Parrilla</t>
  </si>
  <si>
    <t>Ud</t>
  </si>
  <si>
    <t>Tapa de HF</t>
  </si>
  <si>
    <t>Mano de Obra</t>
  </si>
  <si>
    <t>Reposicion de Acera</t>
  </si>
  <si>
    <t>Pa</t>
  </si>
  <si>
    <t>Conexión a filtrante</t>
  </si>
  <si>
    <t>Perforacion de pozo filtrante encamisado en 8'' pvc</t>
  </si>
  <si>
    <t>Ing. Juan Alexander Cruz Fermin</t>
  </si>
  <si>
    <t>Codia: 18823</t>
  </si>
  <si>
    <t>NOTA: 1: Estas partidas puecden variar segun cambios " In Situ" (Variacion en Cambio de Diseños o certificados de medicion).</t>
  </si>
  <si>
    <t>28//2025</t>
  </si>
  <si>
    <t>Propietario:  Ayuntamiento Municipal Villa Montellano</t>
  </si>
  <si>
    <t>2-Taza de referencia del dolar USA: $61.50</t>
  </si>
  <si>
    <t>DIRECCION: Sector Caraballo, Villa Montellano, Puerto Plata, R.D.</t>
  </si>
  <si>
    <t>PRESUPUESTO PRELIMINAR: Construccion de Nuevo Cementerio</t>
  </si>
  <si>
    <t>PROYECTO: Construccion Nuevo Cementerio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</si>
</sst>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"/>
    <numFmt numFmtId="166" formatCode="0.0%"/>
    <numFmt numFmtId="167" formatCode="#,##0.000"/>
    <numFmt numFmtId="168" formatCode="_-* #,##0.00_-;\-* #,##0.00_-;_-* &quot;-&quot;??_-;_-@_-"/>
    <numFmt numFmtId="169" formatCode="#,##0.00000000"/>
    <numFmt numFmtId="170" formatCode="0.000%"/>
  </numFmts>
  <fonts count="29" x14ac:knownFonts="1">
    <font>
      <sz val="10"/>
      <name val="Arial"/>
    </font>
    <font>
      <sz val="10"/>
      <name val="Georgia"/>
      <family val="1"/>
    </font>
    <font>
      <sz val="8"/>
      <name val="Georgia"/>
      <family val="1"/>
    </font>
    <font>
      <sz val="12"/>
      <name val="Arial"/>
      <family val="2"/>
    </font>
    <font>
      <sz val="12"/>
      <color rgb="FF000000"/>
      <name val="Georgia"/>
      <family val="1"/>
    </font>
    <font>
      <sz val="10"/>
      <name val="Arial"/>
      <family val="2"/>
    </font>
    <font>
      <b/>
      <sz val="16"/>
      <color theme="1"/>
      <name val="Georgia"/>
      <family val="1"/>
    </font>
    <font>
      <sz val="12"/>
      <color theme="1"/>
      <name val="Georgia"/>
      <family val="1"/>
    </font>
    <font>
      <b/>
      <sz val="13"/>
      <name val="Georgia"/>
      <family val="1"/>
    </font>
    <font>
      <sz val="12"/>
      <name val="Georgia"/>
      <family val="1"/>
    </font>
    <font>
      <b/>
      <sz val="14"/>
      <name val="Georgia"/>
      <family val="1"/>
    </font>
    <font>
      <sz val="10"/>
      <name val="Calibri"/>
      <family val="2"/>
      <scheme val="minor"/>
    </font>
    <font>
      <b/>
      <i/>
      <u/>
      <sz val="14"/>
      <color theme="1"/>
      <name val="Georgia"/>
      <family val="1"/>
    </font>
    <font>
      <b/>
      <sz val="12"/>
      <color theme="1"/>
      <name val="Georgia"/>
      <family val="1"/>
    </font>
    <font>
      <b/>
      <sz val="8"/>
      <name val="Georgia"/>
      <family val="1"/>
    </font>
    <font>
      <b/>
      <sz val="16"/>
      <name val="Georgia"/>
      <family val="1"/>
    </font>
    <font>
      <b/>
      <sz val="12"/>
      <name val="Georgia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4"/>
      <name val="Garamond"/>
      <family val="1"/>
    </font>
    <font>
      <b/>
      <sz val="14"/>
      <color theme="1"/>
      <name val="Georgia"/>
      <family val="1"/>
    </font>
    <font>
      <b/>
      <sz val="14"/>
      <name val="Arial"/>
      <family val="2"/>
    </font>
    <font>
      <sz val="10"/>
      <name val="MS Sans Serif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7" fillId="0" borderId="0"/>
  </cellStyleXfs>
  <cellXfs count="231">
    <xf numFmtId="0" fontId="0" fillId="0" borderId="0" xfId="0"/>
    <xf numFmtId="0" fontId="1" fillId="0" borderId="0" xfId="5" applyFont="1"/>
    <xf numFmtId="0" fontId="1" fillId="0" borderId="0" xfId="5" applyFont="1" applyProtection="1">
      <protection locked="0"/>
    </xf>
    <xf numFmtId="0" fontId="2" fillId="0" borderId="0" xfId="5" applyFont="1" applyProtection="1">
      <protection locked="0"/>
    </xf>
    <xf numFmtId="0" fontId="2" fillId="0" borderId="0" xfId="5" applyFont="1"/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5" applyFont="1" applyAlignment="1">
      <alignment horizontal="center"/>
    </xf>
    <xf numFmtId="43" fontId="1" fillId="0" borderId="0" xfId="4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8" fillId="0" borderId="0" xfId="6" applyFont="1" applyAlignment="1" applyProtection="1">
      <alignment vertical="center" wrapText="1"/>
      <protection locked="0"/>
    </xf>
    <xf numFmtId="0" fontId="8" fillId="0" borderId="0" xfId="6" applyFont="1" applyAlignment="1" applyProtection="1">
      <alignment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1" fillId="0" borderId="0" xfId="5" applyFont="1" applyAlignment="1" applyProtection="1">
      <alignment horizontal="center" vertical="center"/>
      <protection locked="0"/>
    </xf>
    <xf numFmtId="14" fontId="11" fillId="0" borderId="0" xfId="5" applyNumberFormat="1" applyFont="1" applyAlignment="1" applyProtection="1">
      <alignment horizontal="center" vertical="center"/>
      <protection locked="0"/>
    </xf>
    <xf numFmtId="0" fontId="12" fillId="0" borderId="0" xfId="5" applyFont="1" applyAlignment="1" applyProtection="1">
      <alignment vertical="center"/>
      <protection locked="0"/>
    </xf>
    <xf numFmtId="43" fontId="14" fillId="0" borderId="0" xfId="4" applyFont="1" applyBorder="1" applyAlignment="1" applyProtection="1"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12" fillId="0" borderId="4" xfId="5" applyFont="1" applyBorder="1" applyAlignment="1" applyProtection="1">
      <alignment vertical="center"/>
      <protection locked="0"/>
    </xf>
    <xf numFmtId="0" fontId="16" fillId="3" borderId="9" xfId="5" applyFont="1" applyFill="1" applyBorder="1" applyAlignment="1">
      <alignment horizontal="center" vertical="center"/>
    </xf>
    <xf numFmtId="0" fontId="16" fillId="3" borderId="9" xfId="5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2" fillId="0" borderId="9" xfId="5" applyFont="1" applyBorder="1"/>
    <xf numFmtId="164" fontId="17" fillId="5" borderId="9" xfId="2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164" fontId="18" fillId="0" borderId="9" xfId="2" applyFont="1" applyBorder="1" applyAlignment="1">
      <alignment horizontal="center"/>
    </xf>
    <xf numFmtId="4" fontId="18" fillId="0" borderId="9" xfId="0" applyNumberFormat="1" applyFont="1" applyBorder="1" applyAlignment="1">
      <alignment horizontal="center"/>
    </xf>
    <xf numFmtId="164" fontId="17" fillId="5" borderId="9" xfId="2" applyFont="1" applyFill="1" applyBorder="1" applyAlignment="1">
      <alignment horizontal="center"/>
    </xf>
    <xf numFmtId="4" fontId="18" fillId="0" borderId="9" xfId="0" applyNumberFormat="1" applyFont="1" applyBorder="1" applyAlignment="1">
      <alignment horizontal="left" vertical="center"/>
    </xf>
    <xf numFmtId="4" fontId="17" fillId="5" borderId="9" xfId="0" applyNumberFormat="1" applyFont="1" applyFill="1" applyBorder="1" applyAlignment="1">
      <alignment horizontal="left" vertical="center"/>
    </xf>
    <xf numFmtId="164" fontId="17" fillId="5" borderId="9" xfId="2" applyFont="1" applyFill="1" applyBorder="1" applyAlignment="1">
      <alignment horizontal="left" vertical="center"/>
    </xf>
    <xf numFmtId="4" fontId="2" fillId="0" borderId="9" xfId="5" applyNumberFormat="1" applyFont="1" applyBorder="1"/>
    <xf numFmtId="4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64" fontId="18" fillId="0" borderId="9" xfId="2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" fontId="17" fillId="0" borderId="9" xfId="0" applyNumberFormat="1" applyFont="1" applyBorder="1" applyAlignment="1">
      <alignment horizontal="center" vertical="center"/>
    </xf>
    <xf numFmtId="0" fontId="5" fillId="0" borderId="9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164" fontId="3" fillId="0" borderId="9" xfId="2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0" fillId="6" borderId="0" xfId="0" applyFont="1" applyFill="1" applyAlignment="1">
      <alignment horizontal="right"/>
    </xf>
    <xf numFmtId="4" fontId="20" fillId="6" borderId="0" xfId="0" applyNumberFormat="1" applyFont="1" applyFill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center"/>
    </xf>
    <xf numFmtId="0" fontId="9" fillId="0" borderId="0" xfId="5" applyFont="1"/>
    <xf numFmtId="0" fontId="21" fillId="0" borderId="0" xfId="0" applyFont="1"/>
    <xf numFmtId="0" fontId="3" fillId="2" borderId="0" xfId="0" applyFont="1" applyFill="1"/>
    <xf numFmtId="0" fontId="21" fillId="2" borderId="0" xfId="0" applyFont="1" applyFill="1"/>
    <xf numFmtId="0" fontId="7" fillId="0" borderId="0" xfId="0" applyFont="1" applyAlignment="1">
      <alignment horizontal="center"/>
    </xf>
    <xf numFmtId="0" fontId="8" fillId="0" borderId="0" xfId="6" applyFont="1" applyAlignment="1">
      <alignment vertical="center" wrapText="1"/>
    </xf>
    <xf numFmtId="0" fontId="8" fillId="0" borderId="0" xfId="6" applyFont="1" applyAlignment="1">
      <alignment vertical="center"/>
    </xf>
    <xf numFmtId="0" fontId="1" fillId="0" borderId="0" xfId="5" applyFont="1" applyAlignment="1">
      <alignment horizontal="center" vertical="center"/>
    </xf>
    <xf numFmtId="14" fontId="11" fillId="0" borderId="0" xfId="5" applyNumberFormat="1" applyFont="1" applyAlignment="1">
      <alignment horizontal="center" vertical="center"/>
    </xf>
    <xf numFmtId="0" fontId="12" fillId="0" borderId="0" xfId="5" applyFont="1" applyAlignment="1">
      <alignment vertical="center"/>
    </xf>
    <xf numFmtId="43" fontId="14" fillId="0" borderId="0" xfId="4" applyFont="1" applyBorder="1" applyAlignment="1"/>
    <xf numFmtId="0" fontId="12" fillId="0" borderId="0" xfId="5" applyFont="1" applyAlignment="1">
      <alignment horizontal="center" vertical="center"/>
    </xf>
    <xf numFmtId="0" fontId="12" fillId="0" borderId="4" xfId="5" applyFont="1" applyBorder="1" applyAlignment="1">
      <alignment vertical="center"/>
    </xf>
    <xf numFmtId="0" fontId="19" fillId="5" borderId="9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/>
    </xf>
    <xf numFmtId="0" fontId="18" fillId="0" borderId="9" xfId="0" applyFont="1" applyBorder="1" applyAlignment="1">
      <alignment vertical="justify" wrapText="1"/>
    </xf>
    <xf numFmtId="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" fontId="3" fillId="0" borderId="9" xfId="0" applyNumberFormat="1" applyFont="1" applyBorder="1"/>
    <xf numFmtId="0" fontId="18" fillId="0" borderId="9" xfId="0" applyFont="1" applyBorder="1" applyAlignment="1">
      <alignment vertical="justify"/>
    </xf>
    <xf numFmtId="4" fontId="3" fillId="0" borderId="9" xfId="0" applyNumberFormat="1" applyFont="1" applyBorder="1" applyAlignment="1">
      <alignment horizontal="center"/>
    </xf>
    <xf numFmtId="0" fontId="9" fillId="0" borderId="9" xfId="5" applyFont="1" applyBorder="1"/>
    <xf numFmtId="4" fontId="19" fillId="8" borderId="9" xfId="0" applyNumberFormat="1" applyFont="1" applyFill="1" applyBorder="1" applyAlignment="1">
      <alignment horizontal="right"/>
    </xf>
    <xf numFmtId="164" fontId="19" fillId="8" borderId="9" xfId="2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right"/>
    </xf>
    <xf numFmtId="164" fontId="19" fillId="0" borderId="0" xfId="2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/>
    </xf>
    <xf numFmtId="43" fontId="23" fillId="0" borderId="0" xfId="1" applyFont="1" applyFill="1"/>
    <xf numFmtId="0" fontId="19" fillId="2" borderId="9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 wrapText="1"/>
    </xf>
    <xf numFmtId="2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/>
    <xf numFmtId="164" fontId="19" fillId="8" borderId="9" xfId="2" applyFont="1" applyFill="1" applyBorder="1"/>
    <xf numFmtId="0" fontId="3" fillId="0" borderId="9" xfId="0" applyFont="1" applyBorder="1" applyAlignment="1">
      <alignment vertical="center" wrapText="1"/>
    </xf>
    <xf numFmtId="165" fontId="3" fillId="2" borderId="9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19" fillId="0" borderId="9" xfId="0" applyFont="1" applyBorder="1"/>
    <xf numFmtId="4" fontId="19" fillId="0" borderId="9" xfId="0" applyNumberFormat="1" applyFont="1" applyBorder="1" applyAlignment="1">
      <alignment horizontal="right"/>
    </xf>
    <xf numFmtId="0" fontId="22" fillId="5" borderId="9" xfId="0" applyFont="1" applyFill="1" applyBorder="1" applyAlignment="1">
      <alignment horizontal="center" vertical="center"/>
    </xf>
    <xf numFmtId="164" fontId="19" fillId="9" borderId="9" xfId="2" applyFont="1" applyFill="1" applyBorder="1" applyAlignment="1">
      <alignment horizontal="right"/>
    </xf>
    <xf numFmtId="0" fontId="19" fillId="0" borderId="9" xfId="0" applyFont="1" applyBorder="1" applyAlignment="1">
      <alignment horizontal="center"/>
    </xf>
    <xf numFmtId="0" fontId="17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166" fontId="3" fillId="0" borderId="9" xfId="3" applyNumberFormat="1" applyFont="1" applyBorder="1" applyAlignment="1">
      <alignment horizontal="center"/>
    </xf>
    <xf numFmtId="164" fontId="3" fillId="0" borderId="9" xfId="2" applyFont="1" applyBorder="1"/>
    <xf numFmtId="9" fontId="3" fillId="0" borderId="9" xfId="3" applyFont="1" applyBorder="1" applyAlignment="1">
      <alignment horizontal="center"/>
    </xf>
    <xf numFmtId="10" fontId="3" fillId="0" borderId="9" xfId="3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168" fontId="3" fillId="0" borderId="0" xfId="0" applyNumberFormat="1" applyFont="1"/>
    <xf numFmtId="164" fontId="3" fillId="0" borderId="0" xfId="2" applyFont="1" applyFill="1"/>
    <xf numFmtId="43" fontId="3" fillId="0" borderId="0" xfId="1" applyFont="1"/>
    <xf numFmtId="164" fontId="3" fillId="0" borderId="0" xfId="2" applyFont="1"/>
    <xf numFmtId="9" fontId="3" fillId="0" borderId="0" xfId="3" applyFont="1" applyAlignment="1">
      <alignment horizontal="center"/>
    </xf>
    <xf numFmtId="164" fontId="19" fillId="0" borderId="0" xfId="2" applyFont="1" applyFill="1" applyBorder="1" applyAlignment="1">
      <alignment horizontal="center" vertical="top"/>
    </xf>
    <xf numFmtId="0" fontId="19" fillId="0" borderId="0" xfId="0" applyFont="1" applyAlignment="1">
      <alignment horizontal="right"/>
    </xf>
    <xf numFmtId="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9" fontId="19" fillId="0" borderId="0" xfId="0" applyNumberFormat="1" applyFont="1"/>
    <xf numFmtId="164" fontId="19" fillId="0" borderId="0" xfId="2" applyFont="1" applyAlignment="1"/>
    <xf numFmtId="164" fontId="4" fillId="0" borderId="0" xfId="2" applyFont="1" applyAlignment="1">
      <alignment vertical="top"/>
    </xf>
    <xf numFmtId="164" fontId="3" fillId="0" borderId="0" xfId="2" applyFont="1" applyAlignment="1"/>
    <xf numFmtId="43" fontId="3" fillId="0" borderId="0" xfId="0" applyNumberFormat="1" applyFont="1"/>
    <xf numFmtId="164" fontId="5" fillId="0" borderId="0" xfId="2" applyFont="1"/>
    <xf numFmtId="0" fontId="26" fillId="5" borderId="9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wrapText="1"/>
    </xf>
    <xf numFmtId="43" fontId="21" fillId="0" borderId="0" xfId="0" applyNumberFormat="1" applyFont="1"/>
    <xf numFmtId="2" fontId="3" fillId="0" borderId="9" xfId="3" applyNumberFormat="1" applyFont="1" applyBorder="1" applyAlignment="1">
      <alignment horizontal="center"/>
    </xf>
    <xf numFmtId="170" fontId="3" fillId="0" borderId="9" xfId="3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4" fillId="0" borderId="0" xfId="0" applyNumberFormat="1" applyFont="1" applyAlignment="1">
      <alignment horizontal="center" vertical="top"/>
    </xf>
    <xf numFmtId="0" fontId="17" fillId="0" borderId="9" xfId="0" quotePrefix="1" applyFont="1" applyBorder="1" applyAlignment="1">
      <alignment horizontal="left" vertical="center"/>
    </xf>
    <xf numFmtId="0" fontId="18" fillId="0" borderId="9" xfId="0" quotePrefix="1" applyFont="1" applyBorder="1" applyAlignment="1">
      <alignment horizontal="left" vertical="center"/>
    </xf>
    <xf numFmtId="0" fontId="18" fillId="0" borderId="9" xfId="0" quotePrefix="1" applyFont="1" applyBorder="1" applyAlignment="1">
      <alignment horizontal="center"/>
    </xf>
    <xf numFmtId="4" fontId="17" fillId="5" borderId="9" xfId="0" quotePrefix="1" applyNumberFormat="1" applyFont="1" applyFill="1" applyBorder="1" applyAlignment="1">
      <alignment horizontal="center"/>
    </xf>
    <xf numFmtId="0" fontId="18" fillId="0" borderId="9" xfId="0" quotePrefix="1" applyFont="1" applyBorder="1" applyAlignment="1">
      <alignment horizontal="center" vertical="center"/>
    </xf>
    <xf numFmtId="4" fontId="18" fillId="0" borderId="9" xfId="0" quotePrefix="1" applyNumberFormat="1" applyFont="1" applyBorder="1" applyAlignment="1">
      <alignment horizontal="center" vertical="center"/>
    </xf>
    <xf numFmtId="0" fontId="17" fillId="5" borderId="9" xfId="0" quotePrefix="1" applyFont="1" applyFill="1" applyBorder="1" applyAlignment="1">
      <alignment horizontal="center" vertical="center"/>
    </xf>
    <xf numFmtId="4" fontId="18" fillId="0" borderId="9" xfId="0" quotePrefix="1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3" borderId="1" xfId="5" applyFont="1" applyFill="1" applyBorder="1" applyAlignment="1">
      <alignment horizontal="center" vertical="center" wrapText="1"/>
    </xf>
    <xf numFmtId="0" fontId="12" fillId="3" borderId="4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49" fontId="15" fillId="4" borderId="1" xfId="5" applyNumberFormat="1" applyFont="1" applyFill="1" applyBorder="1" applyAlignment="1">
      <alignment horizontal="center" vertical="center"/>
    </xf>
    <xf numFmtId="49" fontId="15" fillId="4" borderId="2" xfId="5" applyNumberFormat="1" applyFont="1" applyFill="1" applyBorder="1" applyAlignment="1">
      <alignment horizontal="center" vertical="center"/>
    </xf>
    <xf numFmtId="49" fontId="15" fillId="4" borderId="3" xfId="5" applyNumberFormat="1" applyFont="1" applyFill="1" applyBorder="1" applyAlignment="1">
      <alignment horizontal="center" vertical="center"/>
    </xf>
    <xf numFmtId="49" fontId="15" fillId="4" borderId="4" xfId="5" applyNumberFormat="1" applyFont="1" applyFill="1" applyBorder="1" applyAlignment="1">
      <alignment horizontal="center" vertical="center"/>
    </xf>
    <xf numFmtId="49" fontId="15" fillId="4" borderId="0" xfId="5" applyNumberFormat="1" applyFont="1" applyFill="1" applyAlignment="1">
      <alignment horizontal="center" vertical="center"/>
    </xf>
    <xf numFmtId="49" fontId="15" fillId="4" borderId="5" xfId="5" applyNumberFormat="1" applyFont="1" applyFill="1" applyBorder="1" applyAlignment="1">
      <alignment horizontal="center" vertical="center"/>
    </xf>
    <xf numFmtId="49" fontId="15" fillId="4" borderId="6" xfId="5" applyNumberFormat="1" applyFont="1" applyFill="1" applyBorder="1" applyAlignment="1">
      <alignment horizontal="center" vertical="center"/>
    </xf>
    <xf numFmtId="49" fontId="15" fillId="4" borderId="7" xfId="5" applyNumberFormat="1" applyFont="1" applyFill="1" applyBorder="1" applyAlignment="1">
      <alignment horizontal="center" vertical="center"/>
    </xf>
    <xf numFmtId="49" fontId="15" fillId="4" borderId="8" xfId="5" applyNumberFormat="1" applyFont="1" applyFill="1" applyBorder="1" applyAlignment="1">
      <alignment horizontal="center" vertical="center"/>
    </xf>
    <xf numFmtId="0" fontId="12" fillId="3" borderId="1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3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12" fillId="3" borderId="0" xfId="5" applyFont="1" applyFill="1" applyAlignment="1">
      <alignment horizontal="center" vertical="center"/>
    </xf>
    <xf numFmtId="0" fontId="12" fillId="3" borderId="5" xfId="5" applyFont="1" applyFill="1" applyBorder="1" applyAlignment="1">
      <alignment horizontal="center" vertical="center"/>
    </xf>
    <xf numFmtId="0" fontId="12" fillId="3" borderId="6" xfId="5" applyFont="1" applyFill="1" applyBorder="1" applyAlignment="1">
      <alignment horizontal="center" vertical="center"/>
    </xf>
    <xf numFmtId="0" fontId="12" fillId="3" borderId="7" xfId="5" applyFont="1" applyFill="1" applyBorder="1" applyAlignment="1">
      <alignment horizontal="center" vertical="center"/>
    </xf>
    <xf numFmtId="0" fontId="12" fillId="3" borderId="8" xfId="5" applyFont="1" applyFill="1" applyBorder="1" applyAlignment="1">
      <alignment horizontal="center" vertical="center"/>
    </xf>
    <xf numFmtId="4" fontId="19" fillId="9" borderId="11" xfId="0" applyNumberFormat="1" applyFont="1" applyFill="1" applyBorder="1" applyAlignment="1">
      <alignment horizontal="center"/>
    </xf>
    <xf numFmtId="4" fontId="19" fillId="9" borderId="12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9" fillId="0" borderId="0" xfId="5" applyFont="1" applyAlignment="1">
      <alignment horizontal="center" vertical="center"/>
    </xf>
    <xf numFmtId="0" fontId="25" fillId="2" borderId="1" xfId="5" applyFont="1" applyFill="1" applyBorder="1" applyAlignment="1">
      <alignment horizontal="left" vertical="center" wrapText="1"/>
    </xf>
    <xf numFmtId="0" fontId="25" fillId="2" borderId="2" xfId="5" applyFont="1" applyFill="1" applyBorder="1" applyAlignment="1">
      <alignment horizontal="left" vertical="center" wrapText="1"/>
    </xf>
    <xf numFmtId="0" fontId="25" fillId="2" borderId="3" xfId="5" applyFont="1" applyFill="1" applyBorder="1" applyAlignment="1">
      <alignment horizontal="left" vertical="center" wrapText="1"/>
    </xf>
    <xf numFmtId="0" fontId="25" fillId="2" borderId="4" xfId="5" applyFont="1" applyFill="1" applyBorder="1" applyAlignment="1">
      <alignment horizontal="left" vertical="center"/>
    </xf>
    <xf numFmtId="0" fontId="25" fillId="2" borderId="0" xfId="5" applyFont="1" applyFill="1" applyAlignment="1">
      <alignment horizontal="left" vertical="center"/>
    </xf>
    <xf numFmtId="0" fontId="25" fillId="2" borderId="5" xfId="5" applyFont="1" applyFill="1" applyBorder="1" applyAlignment="1">
      <alignment horizontal="left" vertical="center"/>
    </xf>
    <xf numFmtId="0" fontId="25" fillId="2" borderId="6" xfId="5" applyFont="1" applyFill="1" applyBorder="1" applyAlignment="1">
      <alignment horizontal="left" vertical="center"/>
    </xf>
    <xf numFmtId="0" fontId="25" fillId="2" borderId="7" xfId="5" applyFont="1" applyFill="1" applyBorder="1" applyAlignment="1">
      <alignment horizontal="left" vertical="center"/>
    </xf>
    <xf numFmtId="0" fontId="25" fillId="2" borderId="8" xfId="5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2" fontId="19" fillId="0" borderId="0" xfId="1" applyNumberFormat="1" applyFont="1" applyFill="1" applyBorder="1" applyAlignment="1">
      <alignment horizontal="center"/>
    </xf>
    <xf numFmtId="164" fontId="19" fillId="0" borderId="0" xfId="2" applyFont="1" applyFill="1" applyBorder="1" applyAlignment="1">
      <alignment horizontal="center" vertical="top"/>
    </xf>
    <xf numFmtId="0" fontId="15" fillId="5" borderId="0" xfId="5" applyFont="1" applyFill="1" applyAlignment="1">
      <alignment horizontal="center"/>
    </xf>
    <xf numFmtId="0" fontId="13" fillId="2" borderId="1" xfId="5" applyFont="1" applyFill="1" applyBorder="1" applyAlignment="1">
      <alignment horizontal="left" vertical="center" wrapText="1"/>
    </xf>
    <xf numFmtId="0" fontId="13" fillId="2" borderId="2" xfId="5" applyFont="1" applyFill="1" applyBorder="1" applyAlignment="1">
      <alignment horizontal="left" vertical="center" wrapText="1"/>
    </xf>
    <xf numFmtId="0" fontId="13" fillId="2" borderId="3" xfId="5" applyFont="1" applyFill="1" applyBorder="1" applyAlignment="1">
      <alignment horizontal="left" vertical="center" wrapText="1"/>
    </xf>
    <xf numFmtId="0" fontId="13" fillId="2" borderId="4" xfId="5" applyFont="1" applyFill="1" applyBorder="1" applyAlignment="1">
      <alignment horizontal="left" vertical="center"/>
    </xf>
    <xf numFmtId="0" fontId="13" fillId="2" borderId="0" xfId="5" applyFont="1" applyFill="1" applyAlignment="1">
      <alignment horizontal="left" vertical="center"/>
    </xf>
    <xf numFmtId="0" fontId="13" fillId="2" borderId="5" xfId="5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 vertical="center"/>
    </xf>
    <xf numFmtId="0" fontId="13" fillId="2" borderId="7" xfId="5" applyFont="1" applyFill="1" applyBorder="1" applyAlignment="1">
      <alignment horizontal="left" vertical="center"/>
    </xf>
    <xf numFmtId="0" fontId="13" fillId="2" borderId="8" xfId="5" applyFont="1" applyFill="1" applyBorder="1" applyAlignment="1">
      <alignment horizontal="left" vertical="center"/>
    </xf>
    <xf numFmtId="0" fontId="13" fillId="2" borderId="4" xfId="5" applyFont="1" applyFill="1" applyBorder="1" applyAlignment="1" applyProtection="1">
      <alignment horizontal="left" vertical="center"/>
      <protection locked="0"/>
    </xf>
    <xf numFmtId="0" fontId="13" fillId="2" borderId="0" xfId="5" applyFont="1" applyFill="1" applyAlignment="1" applyProtection="1">
      <alignment horizontal="left" vertical="center"/>
      <protection locked="0"/>
    </xf>
    <xf numFmtId="0" fontId="13" fillId="2" borderId="5" xfId="5" applyFont="1" applyFill="1" applyBorder="1" applyAlignment="1" applyProtection="1">
      <alignment horizontal="left" vertical="center"/>
      <protection locked="0"/>
    </xf>
    <xf numFmtId="0" fontId="12" fillId="3" borderId="1" xfId="5" applyFont="1" applyFill="1" applyBorder="1" applyAlignment="1" applyProtection="1">
      <alignment horizontal="center" vertical="center" wrapText="1"/>
      <protection locked="0"/>
    </xf>
    <xf numFmtId="0" fontId="12" fillId="3" borderId="4" xfId="5" applyFont="1" applyFill="1" applyBorder="1" applyAlignment="1" applyProtection="1">
      <alignment horizontal="center" vertical="center" wrapText="1"/>
      <protection locked="0"/>
    </xf>
    <xf numFmtId="0" fontId="12" fillId="3" borderId="6" xfId="5" applyFont="1" applyFill="1" applyBorder="1" applyAlignment="1" applyProtection="1">
      <alignment horizontal="center" vertical="center" wrapText="1"/>
      <protection locked="0"/>
    </xf>
    <xf numFmtId="49" fontId="15" fillId="4" borderId="1" xfId="5" applyNumberFormat="1" applyFont="1" applyFill="1" applyBorder="1" applyAlignment="1" applyProtection="1">
      <alignment horizontal="center" vertical="center"/>
      <protection locked="0"/>
    </xf>
    <xf numFmtId="49" fontId="15" fillId="4" borderId="2" xfId="5" applyNumberFormat="1" applyFont="1" applyFill="1" applyBorder="1" applyAlignment="1" applyProtection="1">
      <alignment horizontal="center" vertical="center"/>
      <protection locked="0"/>
    </xf>
    <xf numFmtId="49" fontId="15" fillId="4" borderId="3" xfId="5" applyNumberFormat="1" applyFont="1" applyFill="1" applyBorder="1" applyAlignment="1" applyProtection="1">
      <alignment horizontal="center" vertical="center"/>
      <protection locked="0"/>
    </xf>
    <xf numFmtId="49" fontId="15" fillId="4" borderId="4" xfId="5" applyNumberFormat="1" applyFont="1" applyFill="1" applyBorder="1" applyAlignment="1" applyProtection="1">
      <alignment horizontal="center" vertical="center"/>
      <protection locked="0"/>
    </xf>
    <xf numFmtId="49" fontId="15" fillId="4" borderId="0" xfId="5" applyNumberFormat="1" applyFont="1" applyFill="1" applyAlignment="1" applyProtection="1">
      <alignment horizontal="center" vertical="center"/>
      <protection locked="0"/>
    </xf>
    <xf numFmtId="49" fontId="15" fillId="4" borderId="5" xfId="5" applyNumberFormat="1" applyFont="1" applyFill="1" applyBorder="1" applyAlignment="1" applyProtection="1">
      <alignment horizontal="center" vertical="center"/>
      <protection locked="0"/>
    </xf>
    <xf numFmtId="49" fontId="15" fillId="4" borderId="6" xfId="5" applyNumberFormat="1" applyFont="1" applyFill="1" applyBorder="1" applyAlignment="1" applyProtection="1">
      <alignment horizontal="center" vertical="center"/>
      <protection locked="0"/>
    </xf>
    <xf numFmtId="49" fontId="15" fillId="4" borderId="7" xfId="5" applyNumberFormat="1" applyFont="1" applyFill="1" applyBorder="1" applyAlignment="1" applyProtection="1">
      <alignment horizontal="center" vertical="center"/>
      <protection locked="0"/>
    </xf>
    <xf numFmtId="49" fontId="15" fillId="4" borderId="8" xfId="5" applyNumberFormat="1" applyFont="1" applyFill="1" applyBorder="1" applyAlignment="1" applyProtection="1">
      <alignment horizontal="center" vertical="center"/>
      <protection locked="0"/>
    </xf>
    <xf numFmtId="0" fontId="12" fillId="3" borderId="1" xfId="5" applyFont="1" applyFill="1" applyBorder="1" applyAlignment="1" applyProtection="1">
      <alignment horizontal="center" vertical="center"/>
      <protection locked="0"/>
    </xf>
    <xf numFmtId="0" fontId="12" fillId="3" borderId="2" xfId="5" applyFont="1" applyFill="1" applyBorder="1" applyAlignment="1" applyProtection="1">
      <alignment horizontal="center" vertical="center"/>
      <protection locked="0"/>
    </xf>
    <xf numFmtId="0" fontId="12" fillId="3" borderId="3" xfId="5" applyFont="1" applyFill="1" applyBorder="1" applyAlignment="1" applyProtection="1">
      <alignment horizontal="center" vertical="center"/>
      <protection locked="0"/>
    </xf>
    <xf numFmtId="0" fontId="12" fillId="3" borderId="4" xfId="5" applyFont="1" applyFill="1" applyBorder="1" applyAlignment="1" applyProtection="1">
      <alignment horizontal="center" vertical="center"/>
      <protection locked="0"/>
    </xf>
    <xf numFmtId="0" fontId="12" fillId="3" borderId="0" xfId="5" applyFont="1" applyFill="1" applyAlignment="1" applyProtection="1">
      <alignment horizontal="center" vertical="center"/>
      <protection locked="0"/>
    </xf>
    <xf numFmtId="0" fontId="12" fillId="3" borderId="5" xfId="5" applyFont="1" applyFill="1" applyBorder="1" applyAlignment="1" applyProtection="1">
      <alignment horizontal="center" vertical="center"/>
      <protection locked="0"/>
    </xf>
    <xf numFmtId="0" fontId="12" fillId="3" borderId="6" xfId="5" applyFont="1" applyFill="1" applyBorder="1" applyAlignment="1" applyProtection="1">
      <alignment horizontal="center" vertical="center"/>
      <protection locked="0"/>
    </xf>
    <xf numFmtId="0" fontId="12" fillId="3" borderId="7" xfId="5" applyFont="1" applyFill="1" applyBorder="1" applyAlignment="1" applyProtection="1">
      <alignment horizontal="center" vertical="center"/>
      <protection locked="0"/>
    </xf>
    <xf numFmtId="0" fontId="12" fillId="3" borderId="8" xfId="5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wrapText="1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10" fillId="0" borderId="0" xfId="5" applyFont="1" applyAlignment="1" applyProtection="1">
      <alignment horizontal="center" vertical="center"/>
      <protection locked="0"/>
    </xf>
  </cellXfs>
  <cellStyles count="7">
    <cellStyle name="Millares" xfId="1" builtinId="3"/>
    <cellStyle name="Millares 2" xfId="4" xr:uid="{00000000-0005-0000-0000-000031000000}"/>
    <cellStyle name="Moneda" xfId="2" builtinId="4"/>
    <cellStyle name="Normal" xfId="0" builtinId="0"/>
    <cellStyle name="Normal 2" xfId="5" xr:uid="{00000000-0005-0000-0000-000032000000}"/>
    <cellStyle name="Normal 2 4" xfId="6" xr:uid="{00000000-0005-0000-0000-000033000000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0000"/>
      <color rgb="FF92D050"/>
      <color rgb="FF00B050"/>
      <color rgb="FFB7DEE8"/>
      <color rgb="FFFFFF00"/>
      <color rgb="FFFCD5B4"/>
      <color rgb="FFFFFFFF"/>
      <color rgb="FFC0C0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5782945</xdr:colOff>
      <xdr:row>1</xdr:row>
      <xdr:rowOff>121920</xdr:rowOff>
    </xdr:from>
    <xdr:to>
      <xdr:col>2</xdr:col>
      <xdr:colOff>7515225</xdr:colOff>
      <xdr:row>7</xdr:row>
      <xdr:rowOff>198755</xdr:rowOff>
    </xdr:to>
    <xdr:pic>
      <xdr:nvPicPr>
        <xdr:cNvPr id="1042" name="Imagen 2" descr="Icono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2745" y="289560"/>
          <a:ext cx="1732280" cy="1341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922655</xdr:colOff>
      <xdr:row>2</xdr:row>
      <xdr:rowOff>175260</xdr:rowOff>
    </xdr:from>
    <xdr:to>
      <xdr:col>3</xdr:col>
      <xdr:colOff>739140</xdr:colOff>
      <xdr:row>9</xdr:row>
      <xdr:rowOff>182880</xdr:rowOff>
    </xdr:to>
    <xdr:pic>
      <xdr:nvPicPr>
        <xdr:cNvPr id="3090" name="Imagen 2" descr="Icono&#10;&#10;Descripción generada automáticamente con confianza media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9615" y="510540"/>
          <a:ext cx="1622425" cy="1455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869315</xdr:colOff>
      <xdr:row>2</xdr:row>
      <xdr:rowOff>68580</xdr:rowOff>
    </xdr:from>
    <xdr:to>
      <xdr:col>3</xdr:col>
      <xdr:colOff>922655</xdr:colOff>
      <xdr:row>8</xdr:row>
      <xdr:rowOff>153035</xdr:rowOff>
    </xdr:to>
    <xdr:pic>
      <xdr:nvPicPr>
        <xdr:cNvPr id="2066" name="Imagen 2" descr="Icono&#10;&#10;Descripción generada automáticamente con confianza media">
          <a:extLst>
            <a:ext uri="{FF2B5EF4-FFF2-40B4-BE49-F238E27FC236}">
              <a16:creationId xmlns:a16="http://schemas.microsoft.com/office/drawing/2014/main" id="{00000000-0008-0000-03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6275" y="403860"/>
          <a:ext cx="1859280" cy="1402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9"/>
  </sheetPr>
  <dimension ref="A2:CF199"/>
  <sheetViews>
    <sheetView tabSelected="1" view="pageBreakPreview" topLeftCell="A18" zoomScale="70" zoomScaleNormal="80" zoomScaleSheetLayoutView="70" workbookViewId="0">
      <selection activeCell="B13" sqref="B13:H13"/>
    </sheetView>
  </sheetViews>
  <sheetFormatPr baseColWidth="10" defaultColWidth="9.109375" defaultRowHeight="13.2" x14ac:dyDescent="0.25"/>
  <cols>
    <col min="1" max="1" width="5.33203125" style="7" customWidth="1"/>
    <col min="2" max="2" width="26.88671875" style="7" customWidth="1"/>
    <col min="3" max="3" width="121.44140625" style="7"/>
    <col min="4" max="4" width="14.88671875" style="7" customWidth="1"/>
    <col min="5" max="5" width="10.5546875" style="7"/>
    <col min="6" max="6" width="21.88671875" style="7"/>
    <col min="7" max="7" width="17.33203125" style="7" customWidth="1"/>
    <col min="8" max="8" width="29" style="7" customWidth="1"/>
    <col min="9" max="9" width="5.88671875" style="7" customWidth="1"/>
    <col min="10" max="10" width="12.6640625" style="7"/>
    <col min="11" max="11" width="17.21875" style="7"/>
    <col min="12" max="12" width="11.6640625" style="7"/>
    <col min="13" max="16384" width="9.109375" style="7"/>
  </cols>
  <sheetData>
    <row r="2" spans="2:16" s="1" customFormat="1" x14ac:dyDescent="0.25">
      <c r="E2" s="8"/>
      <c r="F2" s="8"/>
      <c r="G2" s="8"/>
      <c r="H2" s="9"/>
    </row>
    <row r="3" spans="2:16" s="1" customFormat="1" ht="20.399999999999999" x14ac:dyDescent="0.25">
      <c r="B3" s="184"/>
      <c r="C3" s="184"/>
      <c r="D3" s="184"/>
      <c r="E3" s="184"/>
      <c r="F3" s="184"/>
      <c r="G3" s="184"/>
      <c r="H3" s="184"/>
    </row>
    <row r="4" spans="2:16" s="1" customFormat="1" ht="15.6" x14ac:dyDescent="0.25">
      <c r="B4" s="185"/>
      <c r="C4" s="185"/>
      <c r="D4" s="185"/>
      <c r="E4" s="185"/>
      <c r="F4" s="185"/>
      <c r="G4" s="185"/>
      <c r="H4" s="185"/>
    </row>
    <row r="5" spans="2:16" s="1" customFormat="1" ht="15.6" x14ac:dyDescent="0.3">
      <c r="B5" s="186"/>
      <c r="C5" s="186"/>
      <c r="D5" s="186"/>
      <c r="E5" s="186"/>
      <c r="F5" s="186"/>
      <c r="G5" s="186"/>
      <c r="H5" s="186"/>
    </row>
    <row r="6" spans="2:16" s="1" customFormat="1" ht="17.399999999999999" x14ac:dyDescent="0.3">
      <c r="B6" s="186"/>
      <c r="C6" s="186"/>
      <c r="D6" s="186"/>
      <c r="E6" s="186"/>
      <c r="F6" s="186"/>
      <c r="G6" s="186"/>
      <c r="H6" s="186"/>
      <c r="I6" s="60"/>
      <c r="J6" s="60"/>
      <c r="K6" s="60"/>
      <c r="L6" s="61"/>
      <c r="M6" s="61"/>
      <c r="N6" s="61"/>
      <c r="O6" s="61"/>
      <c r="P6" s="61"/>
    </row>
    <row r="7" spans="2:16" s="1" customFormat="1" ht="17.399999999999999" x14ac:dyDescent="0.3">
      <c r="B7" s="59"/>
      <c r="C7" s="59"/>
      <c r="D7" s="59"/>
      <c r="E7" s="59"/>
      <c r="F7" s="59"/>
      <c r="G7" s="59"/>
      <c r="H7" s="59"/>
      <c r="I7" s="60"/>
      <c r="J7" s="60"/>
      <c r="K7" s="60"/>
      <c r="L7" s="61"/>
      <c r="M7" s="61"/>
      <c r="N7" s="61"/>
      <c r="O7" s="61"/>
      <c r="P7" s="61"/>
    </row>
    <row r="8" spans="2:16" s="1" customFormat="1" ht="17.399999999999999" x14ac:dyDescent="0.3">
      <c r="B8" s="59"/>
      <c r="C8" s="59"/>
      <c r="D8" s="59"/>
      <c r="E8" s="59"/>
      <c r="F8" s="59"/>
      <c r="G8" s="59"/>
      <c r="H8" s="59"/>
      <c r="I8" s="60"/>
      <c r="J8" s="60"/>
      <c r="K8" s="60"/>
      <c r="L8" s="61"/>
      <c r="M8" s="61"/>
      <c r="N8" s="61"/>
      <c r="O8" s="61"/>
      <c r="P8" s="61"/>
    </row>
    <row r="9" spans="2:16" s="1" customFormat="1" ht="17.399999999999999" customHeight="1" x14ac:dyDescent="0.25">
      <c r="B9" s="187" t="s">
        <v>0</v>
      </c>
      <c r="C9" s="187"/>
      <c r="D9" s="187"/>
      <c r="E9" s="187"/>
      <c r="F9" s="187"/>
      <c r="G9" s="187"/>
      <c r="H9" s="187"/>
    </row>
    <row r="10" spans="2:16" s="1" customFormat="1" ht="17.399999999999999" x14ac:dyDescent="0.25">
      <c r="B10" s="174"/>
      <c r="C10" s="174"/>
      <c r="D10" s="174"/>
      <c r="E10" s="174"/>
      <c r="F10" s="174"/>
      <c r="G10" s="174"/>
      <c r="H10" s="174"/>
      <c r="I10" s="60"/>
      <c r="J10" s="60"/>
      <c r="K10" s="60"/>
      <c r="L10" s="61"/>
      <c r="M10" s="61"/>
      <c r="N10" s="61"/>
      <c r="O10" s="61"/>
      <c r="P10" s="61"/>
    </row>
    <row r="11" spans="2:16" s="1" customFormat="1" ht="18" x14ac:dyDescent="0.25">
      <c r="C11" s="62"/>
      <c r="D11" s="62"/>
      <c r="E11" s="62"/>
      <c r="F11" s="62"/>
      <c r="G11" s="62"/>
      <c r="H11" s="63">
        <v>46107</v>
      </c>
      <c r="I11" s="64"/>
      <c r="J11" s="60"/>
      <c r="K11" s="60"/>
      <c r="L11" s="61"/>
      <c r="M11" s="61"/>
      <c r="N11" s="61"/>
      <c r="O11" s="61"/>
      <c r="P11" s="61"/>
    </row>
    <row r="12" spans="2:16" s="1" customFormat="1" ht="27" customHeight="1" x14ac:dyDescent="0.25">
      <c r="B12" s="175" t="s">
        <v>272</v>
      </c>
      <c r="C12" s="176"/>
      <c r="D12" s="176"/>
      <c r="E12" s="176"/>
      <c r="F12" s="176"/>
      <c r="G12" s="176"/>
      <c r="H12" s="177"/>
      <c r="I12" s="64"/>
      <c r="J12" s="64"/>
      <c r="K12" s="64"/>
      <c r="L12" s="64"/>
      <c r="M12" s="64"/>
      <c r="N12" s="64"/>
      <c r="O12" s="64"/>
      <c r="P12" s="64"/>
    </row>
    <row r="13" spans="2:16" s="1" customFormat="1" ht="18" x14ac:dyDescent="0.25">
      <c r="B13" s="178" t="s">
        <v>2</v>
      </c>
      <c r="C13" s="179"/>
      <c r="D13" s="179"/>
      <c r="E13" s="179"/>
      <c r="F13" s="179"/>
      <c r="G13" s="179"/>
      <c r="H13" s="180"/>
      <c r="I13" s="64"/>
      <c r="J13" s="65"/>
      <c r="K13" s="65"/>
      <c r="L13" s="66"/>
      <c r="M13" s="66"/>
      <c r="N13" s="66"/>
      <c r="O13" s="66"/>
      <c r="P13" s="66"/>
    </row>
    <row r="14" spans="2:16" s="1" customFormat="1" ht="18" x14ac:dyDescent="0.25">
      <c r="B14" s="178" t="s">
        <v>270</v>
      </c>
      <c r="C14" s="179"/>
      <c r="D14" s="179"/>
      <c r="E14" s="179"/>
      <c r="F14" s="179"/>
      <c r="G14" s="179"/>
      <c r="H14" s="180"/>
      <c r="I14" s="64"/>
      <c r="J14" s="66"/>
      <c r="K14" s="66"/>
      <c r="L14" s="66"/>
      <c r="M14" s="66"/>
      <c r="N14" s="66"/>
      <c r="O14" s="66"/>
      <c r="P14" s="66"/>
    </row>
    <row r="15" spans="2:16" s="1" customFormat="1" ht="18" x14ac:dyDescent="0.25">
      <c r="B15" s="181" t="s">
        <v>271</v>
      </c>
      <c r="C15" s="182"/>
      <c r="D15" s="182"/>
      <c r="E15" s="182"/>
      <c r="F15" s="182"/>
      <c r="G15" s="182"/>
      <c r="H15" s="183"/>
      <c r="I15" s="64"/>
      <c r="J15" s="64"/>
      <c r="K15" s="66"/>
      <c r="L15" s="66"/>
      <c r="M15" s="66"/>
      <c r="N15" s="66"/>
      <c r="O15" s="66"/>
      <c r="P15" s="66"/>
    </row>
    <row r="16" spans="2:16" s="4" customFormat="1" ht="18.600000000000001" customHeight="1" x14ac:dyDescent="0.2">
      <c r="B16" s="150" t="s">
        <v>3</v>
      </c>
      <c r="C16" s="153" t="s">
        <v>4</v>
      </c>
      <c r="D16" s="154"/>
      <c r="E16" s="155"/>
      <c r="F16" s="162" t="s">
        <v>5</v>
      </c>
      <c r="G16" s="163"/>
      <c r="H16" s="164"/>
      <c r="I16" s="67"/>
      <c r="J16" s="64"/>
    </row>
    <row r="17" spans="2:10" s="4" customFormat="1" ht="18.600000000000001" customHeight="1" x14ac:dyDescent="0.2">
      <c r="B17" s="151"/>
      <c r="C17" s="156"/>
      <c r="D17" s="157"/>
      <c r="E17" s="158"/>
      <c r="F17" s="165"/>
      <c r="G17" s="166"/>
      <c r="H17" s="167"/>
      <c r="I17" s="67"/>
      <c r="J17" s="64"/>
    </row>
    <row r="18" spans="2:10" s="4" customFormat="1" ht="18.600000000000001" customHeight="1" x14ac:dyDescent="0.2">
      <c r="B18" s="152"/>
      <c r="C18" s="159"/>
      <c r="D18" s="160"/>
      <c r="E18" s="161"/>
      <c r="F18" s="168"/>
      <c r="G18" s="169"/>
      <c r="H18" s="170"/>
      <c r="I18" s="67"/>
      <c r="J18" s="64"/>
    </row>
    <row r="19" spans="2:10" s="4" customFormat="1" ht="18.600000000000001" customHeight="1" x14ac:dyDescent="0.2"/>
    <row r="20" spans="2:10" s="5" customFormat="1" ht="17.399999999999999" x14ac:dyDescent="0.25">
      <c r="B20" s="129" t="s">
        <v>6</v>
      </c>
      <c r="C20" s="40"/>
      <c r="D20" s="40"/>
      <c r="E20" s="40"/>
      <c r="F20" s="41"/>
      <c r="G20" s="40"/>
      <c r="H20" s="40"/>
    </row>
    <row r="21" spans="2:10" s="5" customFormat="1" ht="15.6" x14ac:dyDescent="0.3">
      <c r="B21" s="69" t="s">
        <v>7</v>
      </c>
      <c r="C21" s="69" t="s">
        <v>8</v>
      </c>
      <c r="D21" s="69" t="s">
        <v>9</v>
      </c>
      <c r="E21" s="69" t="s">
        <v>10</v>
      </c>
      <c r="F21" s="69" t="s">
        <v>11</v>
      </c>
      <c r="G21" s="69" t="s">
        <v>12</v>
      </c>
      <c r="H21" s="69" t="s">
        <v>13</v>
      </c>
    </row>
    <row r="22" spans="2:10" s="5" customFormat="1" ht="31.2" x14ac:dyDescent="0.25">
      <c r="B22" s="41">
        <v>1.1000000000000001</v>
      </c>
      <c r="C22" s="70" t="s">
        <v>14</v>
      </c>
      <c r="D22" s="71">
        <v>2</v>
      </c>
      <c r="E22" s="72" t="s">
        <v>15</v>
      </c>
      <c r="F22" s="71"/>
      <c r="G22" s="71">
        <f>D22*F22</f>
        <v>0</v>
      </c>
      <c r="H22" s="73"/>
    </row>
    <row r="23" spans="2:10" s="5" customFormat="1" ht="15.6" x14ac:dyDescent="0.25">
      <c r="B23" s="41">
        <f t="shared" ref="B23:B30" si="0">+B22+0.1</f>
        <v>1.2000000000000002</v>
      </c>
      <c r="C23" s="74" t="s">
        <v>16</v>
      </c>
      <c r="D23" s="75">
        <v>6</v>
      </c>
      <c r="E23" s="41" t="s">
        <v>17</v>
      </c>
      <c r="F23" s="71"/>
      <c r="G23" s="71">
        <f t="shared" ref="G23:G30" si="1">D23*F23</f>
        <v>0</v>
      </c>
      <c r="H23" s="73"/>
    </row>
    <row r="24" spans="2:10" s="5" customFormat="1" ht="15" x14ac:dyDescent="0.25">
      <c r="B24" s="41">
        <f t="shared" si="0"/>
        <v>1.3000000000000003</v>
      </c>
      <c r="C24" s="40" t="s">
        <v>18</v>
      </c>
      <c r="D24" s="75">
        <v>6</v>
      </c>
      <c r="E24" s="41" t="s">
        <v>15</v>
      </c>
      <c r="F24" s="71"/>
      <c r="G24" s="71">
        <f t="shared" si="1"/>
        <v>0</v>
      </c>
      <c r="H24" s="73"/>
    </row>
    <row r="25" spans="2:10" s="5" customFormat="1" ht="15" x14ac:dyDescent="0.25">
      <c r="B25" s="41">
        <f t="shared" si="0"/>
        <v>1.4000000000000004</v>
      </c>
      <c r="C25" s="40" t="s">
        <v>19</v>
      </c>
      <c r="D25" s="75">
        <v>1</v>
      </c>
      <c r="E25" s="41" t="s">
        <v>15</v>
      </c>
      <c r="F25" s="71"/>
      <c r="G25" s="71">
        <f t="shared" si="1"/>
        <v>0</v>
      </c>
      <c r="H25" s="73"/>
    </row>
    <row r="26" spans="2:10" s="5" customFormat="1" ht="15" x14ac:dyDescent="0.25">
      <c r="B26" s="41">
        <f t="shared" si="0"/>
        <v>1.5000000000000004</v>
      </c>
      <c r="C26" s="40" t="s">
        <v>20</v>
      </c>
      <c r="D26" s="75">
        <v>4</v>
      </c>
      <c r="E26" s="41" t="s">
        <v>21</v>
      </c>
      <c r="F26" s="71"/>
      <c r="G26" s="71">
        <f t="shared" si="1"/>
        <v>0</v>
      </c>
      <c r="H26" s="73"/>
    </row>
    <row r="27" spans="2:10" s="5" customFormat="1" ht="15" x14ac:dyDescent="0.25">
      <c r="B27" s="41">
        <f t="shared" si="0"/>
        <v>1.6000000000000005</v>
      </c>
      <c r="C27" s="40" t="s">
        <v>22</v>
      </c>
      <c r="D27" s="75">
        <v>2</v>
      </c>
      <c r="E27" s="41" t="s">
        <v>21</v>
      </c>
      <c r="F27" s="71"/>
      <c r="G27" s="71">
        <f t="shared" si="1"/>
        <v>0</v>
      </c>
      <c r="H27" s="73"/>
    </row>
    <row r="28" spans="2:10" s="5" customFormat="1" ht="15" x14ac:dyDescent="0.25">
      <c r="B28" s="41">
        <f t="shared" si="0"/>
        <v>1.7000000000000006</v>
      </c>
      <c r="C28" s="40" t="s">
        <v>23</v>
      </c>
      <c r="D28" s="75">
        <v>1</v>
      </c>
      <c r="E28" s="41" t="s">
        <v>21</v>
      </c>
      <c r="F28" s="71"/>
      <c r="G28" s="71">
        <f t="shared" si="1"/>
        <v>0</v>
      </c>
      <c r="H28" s="73"/>
    </row>
    <row r="29" spans="2:10" s="5" customFormat="1" ht="15" x14ac:dyDescent="0.25">
      <c r="B29" s="41">
        <f t="shared" si="0"/>
        <v>1.8000000000000007</v>
      </c>
      <c r="C29" s="40" t="s">
        <v>24</v>
      </c>
      <c r="D29" s="75">
        <v>1</v>
      </c>
      <c r="E29" s="41" t="s">
        <v>21</v>
      </c>
      <c r="F29" s="71"/>
      <c r="G29" s="71">
        <f t="shared" si="1"/>
        <v>0</v>
      </c>
      <c r="H29" s="73"/>
    </row>
    <row r="30" spans="2:10" s="5" customFormat="1" ht="15" x14ac:dyDescent="0.25">
      <c r="B30" s="41">
        <f t="shared" si="0"/>
        <v>1.9000000000000008</v>
      </c>
      <c r="C30" s="40" t="s">
        <v>25</v>
      </c>
      <c r="D30" s="75">
        <v>1</v>
      </c>
      <c r="E30" s="41" t="s">
        <v>21</v>
      </c>
      <c r="F30" s="71"/>
      <c r="G30" s="71">
        <f t="shared" si="1"/>
        <v>0</v>
      </c>
      <c r="H30" s="73"/>
    </row>
    <row r="31" spans="2:10" s="5" customFormat="1" ht="15" x14ac:dyDescent="0.25">
      <c r="B31" s="41"/>
      <c r="C31" s="40"/>
      <c r="D31" s="75"/>
      <c r="E31" s="41"/>
      <c r="F31" s="71"/>
      <c r="G31" s="71"/>
      <c r="H31" s="73"/>
    </row>
    <row r="32" spans="2:10" s="55" customFormat="1" ht="18.600000000000001" customHeight="1" x14ac:dyDescent="0.3">
      <c r="B32" s="76"/>
      <c r="C32" s="76"/>
      <c r="D32" s="76"/>
      <c r="E32" s="76"/>
      <c r="F32" s="76"/>
      <c r="G32" s="77" t="s">
        <v>26</v>
      </c>
      <c r="H32" s="78">
        <f>SUM(G22:G25)</f>
        <v>0</v>
      </c>
    </row>
    <row r="33" spans="2:9" s="55" customFormat="1" ht="18.600000000000001" customHeight="1" x14ac:dyDescent="0.3">
      <c r="B33" s="76"/>
      <c r="C33" s="76"/>
      <c r="D33" s="76"/>
      <c r="E33" s="76"/>
      <c r="F33" s="76"/>
      <c r="G33" s="76"/>
      <c r="H33" s="76"/>
    </row>
    <row r="34" spans="2:9" s="5" customFormat="1" ht="34.799999999999997" x14ac:dyDescent="0.25">
      <c r="B34" s="130" t="s">
        <v>27</v>
      </c>
      <c r="C34" s="40"/>
      <c r="D34" s="40"/>
      <c r="E34" s="40"/>
      <c r="F34" s="41"/>
      <c r="G34" s="40"/>
      <c r="H34" s="40"/>
    </row>
    <row r="35" spans="2:9" s="5" customFormat="1" ht="15.6" x14ac:dyDescent="0.3">
      <c r="B35" s="69" t="s">
        <v>7</v>
      </c>
      <c r="C35" s="69" t="s">
        <v>8</v>
      </c>
      <c r="D35" s="69" t="s">
        <v>9</v>
      </c>
      <c r="E35" s="69" t="s">
        <v>10</v>
      </c>
      <c r="F35" s="69" t="s">
        <v>11</v>
      </c>
      <c r="G35" s="69" t="s">
        <v>12</v>
      </c>
      <c r="H35" s="69" t="s">
        <v>13</v>
      </c>
    </row>
    <row r="36" spans="2:9" s="5" customFormat="1" ht="15" x14ac:dyDescent="0.25">
      <c r="B36" s="41">
        <v>2.1</v>
      </c>
      <c r="C36" s="40" t="s">
        <v>28</v>
      </c>
      <c r="D36" s="75">
        <v>15000</v>
      </c>
      <c r="E36" s="41" t="s">
        <v>29</v>
      </c>
      <c r="F36" s="71"/>
      <c r="G36" s="71">
        <f>D36*F36</f>
        <v>0</v>
      </c>
      <c r="H36" s="73"/>
    </row>
    <row r="37" spans="2:9" s="5" customFormat="1" ht="15" x14ac:dyDescent="0.25">
      <c r="B37" s="41">
        <f>+B36+0.1</f>
        <v>2.2000000000000002</v>
      </c>
      <c r="C37" s="40" t="s">
        <v>30</v>
      </c>
      <c r="D37" s="75">
        <v>4000</v>
      </c>
      <c r="E37" s="41" t="s">
        <v>29</v>
      </c>
      <c r="F37" s="71"/>
      <c r="G37" s="71">
        <f>D37*F37</f>
        <v>0</v>
      </c>
      <c r="H37" s="73"/>
    </row>
    <row r="38" spans="2:9" s="5" customFormat="1" ht="15" x14ac:dyDescent="0.25">
      <c r="B38" s="41">
        <f>+B37+0.1</f>
        <v>2.3000000000000003</v>
      </c>
      <c r="C38" s="40" t="s">
        <v>31</v>
      </c>
      <c r="D38" s="75">
        <f>3000*0.4</f>
        <v>1200</v>
      </c>
      <c r="E38" s="41" t="s">
        <v>32</v>
      </c>
      <c r="F38" s="71"/>
      <c r="G38" s="71">
        <f>D38*F38</f>
        <v>0</v>
      </c>
      <c r="H38" s="73"/>
    </row>
    <row r="39" spans="2:9" s="5" customFormat="1" ht="15" x14ac:dyDescent="0.25">
      <c r="B39" s="41">
        <f>+B38+0.1</f>
        <v>2.4000000000000004</v>
      </c>
      <c r="C39" s="40" t="s">
        <v>33</v>
      </c>
      <c r="D39" s="75">
        <f>+(4000*0.2*1.3)+(1200*1.3)</f>
        <v>2600</v>
      </c>
      <c r="E39" s="41" t="s">
        <v>34</v>
      </c>
      <c r="F39" s="71"/>
      <c r="G39" s="71">
        <f>D39*F39</f>
        <v>0</v>
      </c>
      <c r="H39" s="73"/>
    </row>
    <row r="40" spans="2:9" s="5" customFormat="1" ht="15" x14ac:dyDescent="0.25">
      <c r="B40" s="41">
        <f>+B39+0.1</f>
        <v>2.5000000000000004</v>
      </c>
      <c r="C40" s="40" t="s">
        <v>35</v>
      </c>
      <c r="D40" s="75">
        <f>4000*0.6</f>
        <v>2400</v>
      </c>
      <c r="E40" s="41" t="s">
        <v>34</v>
      </c>
      <c r="F40" s="71"/>
      <c r="G40" s="71">
        <f>D40*F40</f>
        <v>0</v>
      </c>
      <c r="H40" s="73"/>
    </row>
    <row r="41" spans="2:9" s="5" customFormat="1" ht="15" x14ac:dyDescent="0.25">
      <c r="B41" s="41"/>
      <c r="C41" s="40"/>
      <c r="D41" s="75"/>
      <c r="E41" s="41"/>
      <c r="F41" s="80"/>
      <c r="G41" s="80"/>
      <c r="H41" s="73"/>
    </row>
    <row r="42" spans="2:9" s="5" customFormat="1" ht="14.25" customHeight="1" x14ac:dyDescent="0.3">
      <c r="B42" s="41"/>
      <c r="C42" s="40"/>
      <c r="D42" s="75"/>
      <c r="E42" s="40"/>
      <c r="F42" s="80"/>
      <c r="G42" s="77" t="s">
        <v>26</v>
      </c>
      <c r="H42" s="78">
        <f>SUM(G36:G40)</f>
        <v>0</v>
      </c>
    </row>
    <row r="43" spans="2:9" s="5" customFormat="1" ht="52.2" x14ac:dyDescent="0.25">
      <c r="B43" s="130" t="s">
        <v>36</v>
      </c>
      <c r="C43" s="40"/>
      <c r="D43" s="75"/>
      <c r="E43" s="41"/>
      <c r="F43" s="75"/>
      <c r="G43" s="75"/>
      <c r="H43" s="40"/>
    </row>
    <row r="44" spans="2:9" s="5" customFormat="1" ht="15.6" x14ac:dyDescent="0.3">
      <c r="B44" s="69" t="s">
        <v>7</v>
      </c>
      <c r="C44" s="69" t="s">
        <v>8</v>
      </c>
      <c r="D44" s="69" t="s">
        <v>9</v>
      </c>
      <c r="E44" s="69" t="s">
        <v>10</v>
      </c>
      <c r="F44" s="69" t="s">
        <v>11</v>
      </c>
      <c r="G44" s="69" t="s">
        <v>12</v>
      </c>
      <c r="H44" s="69" t="s">
        <v>13</v>
      </c>
    </row>
    <row r="45" spans="2:9" s="5" customFormat="1" ht="15" x14ac:dyDescent="0.25">
      <c r="B45" s="41">
        <v>3.1</v>
      </c>
      <c r="C45" s="40" t="s">
        <v>37</v>
      </c>
      <c r="D45" s="75">
        <f>500*0.6*0.45+(200*1*1*0.4)</f>
        <v>215</v>
      </c>
      <c r="E45" s="41" t="s">
        <v>34</v>
      </c>
      <c r="F45" s="71"/>
      <c r="G45" s="71">
        <f>+F45*D45</f>
        <v>0</v>
      </c>
      <c r="H45" s="40"/>
    </row>
    <row r="46" spans="2:9" s="56" customFormat="1" ht="15" x14ac:dyDescent="0.25">
      <c r="B46" s="41">
        <f>+B45+0.1</f>
        <v>3.2</v>
      </c>
      <c r="C46" s="40" t="s">
        <v>38</v>
      </c>
      <c r="D46" s="75">
        <f>(500*0.3*0.4)+(200*0.3*1*1*1)</f>
        <v>120</v>
      </c>
      <c r="E46" s="41" t="s">
        <v>34</v>
      </c>
      <c r="F46" s="71"/>
      <c r="G46" s="71">
        <f t="shared" ref="G46:G58" si="2">+F46*D46</f>
        <v>0</v>
      </c>
      <c r="H46" s="40"/>
      <c r="I46" s="5"/>
    </row>
    <row r="47" spans="2:9" s="56" customFormat="1" ht="15" x14ac:dyDescent="0.25">
      <c r="B47" s="41">
        <f t="shared" ref="B47:B58" si="3">+B46+0.1</f>
        <v>3.3000000000000003</v>
      </c>
      <c r="C47" s="40" t="s">
        <v>39</v>
      </c>
      <c r="D47" s="75">
        <f>+D45-D46</f>
        <v>95</v>
      </c>
      <c r="E47" s="41" t="s">
        <v>34</v>
      </c>
      <c r="F47" s="71"/>
      <c r="G47" s="71">
        <f t="shared" si="2"/>
        <v>0</v>
      </c>
      <c r="H47" s="40"/>
      <c r="I47" s="5"/>
    </row>
    <row r="48" spans="2:9" s="56" customFormat="1" ht="15" x14ac:dyDescent="0.25">
      <c r="B48" s="41">
        <f t="shared" si="3"/>
        <v>3.4000000000000004</v>
      </c>
      <c r="C48" s="40" t="s">
        <v>40</v>
      </c>
      <c r="D48" s="75">
        <f>500*0.25*0.45</f>
        <v>56.25</v>
      </c>
      <c r="E48" s="41" t="s">
        <v>34</v>
      </c>
      <c r="F48" s="71"/>
      <c r="G48" s="71">
        <f t="shared" si="2"/>
        <v>0</v>
      </c>
      <c r="H48" s="40"/>
      <c r="I48" s="5"/>
    </row>
    <row r="49" spans="1:84" s="56" customFormat="1" ht="15" x14ac:dyDescent="0.25">
      <c r="B49" s="41">
        <f t="shared" si="3"/>
        <v>3.5000000000000004</v>
      </c>
      <c r="C49" s="40" t="s">
        <v>41</v>
      </c>
      <c r="D49" s="75">
        <f>+(200*0.3*1*1)</f>
        <v>60</v>
      </c>
      <c r="E49" s="41" t="s">
        <v>34</v>
      </c>
      <c r="F49" s="71"/>
      <c r="G49" s="71">
        <f t="shared" si="2"/>
        <v>0</v>
      </c>
      <c r="H49" s="40"/>
      <c r="I49" s="5"/>
    </row>
    <row r="50" spans="1:84" s="56" customFormat="1" ht="15" x14ac:dyDescent="0.25">
      <c r="B50" s="41">
        <f t="shared" si="3"/>
        <v>3.6000000000000005</v>
      </c>
      <c r="C50" s="40" t="s">
        <v>42</v>
      </c>
      <c r="D50" s="75">
        <v>1500</v>
      </c>
      <c r="E50" s="41" t="s">
        <v>29</v>
      </c>
      <c r="F50" s="71"/>
      <c r="G50" s="71">
        <f t="shared" si="2"/>
        <v>0</v>
      </c>
      <c r="H50" s="40"/>
      <c r="I50" s="5"/>
    </row>
    <row r="51" spans="1:84" s="56" customFormat="1" ht="15" x14ac:dyDescent="0.25">
      <c r="B51" s="41">
        <f t="shared" si="3"/>
        <v>3.7000000000000006</v>
      </c>
      <c r="C51" s="40" t="s">
        <v>43</v>
      </c>
      <c r="D51" s="75">
        <v>1</v>
      </c>
      <c r="E51" s="41" t="s">
        <v>10</v>
      </c>
      <c r="F51" s="71"/>
      <c r="G51" s="71">
        <f t="shared" si="2"/>
        <v>0</v>
      </c>
      <c r="H51" s="40"/>
      <c r="I51" s="5"/>
    </row>
    <row r="52" spans="1:84" s="56" customFormat="1" ht="15" x14ac:dyDescent="0.25">
      <c r="B52" s="41">
        <f t="shared" si="3"/>
        <v>3.8000000000000007</v>
      </c>
      <c r="C52" s="40" t="s">
        <v>44</v>
      </c>
      <c r="D52" s="75">
        <v>1</v>
      </c>
      <c r="E52" s="41" t="s">
        <v>10</v>
      </c>
      <c r="F52" s="71"/>
      <c r="G52" s="71">
        <f t="shared" si="2"/>
        <v>0</v>
      </c>
      <c r="H52" s="40"/>
      <c r="I52" s="5"/>
    </row>
    <row r="53" spans="1:84" s="56" customFormat="1" ht="15" x14ac:dyDescent="0.25">
      <c r="B53" s="41">
        <f t="shared" si="3"/>
        <v>3.9000000000000008</v>
      </c>
      <c r="C53" s="40" t="s">
        <v>45</v>
      </c>
      <c r="D53" s="75">
        <f>200*3*0.2*0.2</f>
        <v>24</v>
      </c>
      <c r="E53" s="41" t="s">
        <v>34</v>
      </c>
      <c r="F53" s="71"/>
      <c r="G53" s="71">
        <f t="shared" si="2"/>
        <v>0</v>
      </c>
      <c r="H53" s="40"/>
      <c r="I53" s="5"/>
    </row>
    <row r="54" spans="1:84" s="56" customFormat="1" ht="15" x14ac:dyDescent="0.25">
      <c r="B54" s="41">
        <f t="shared" si="3"/>
        <v>4.0000000000000009</v>
      </c>
      <c r="C54" s="40" t="s">
        <v>46</v>
      </c>
      <c r="D54" s="75">
        <f>500*0.2*0.2</f>
        <v>20</v>
      </c>
      <c r="E54" s="41" t="s">
        <v>34</v>
      </c>
      <c r="F54" s="71"/>
      <c r="G54" s="71">
        <f t="shared" si="2"/>
        <v>0</v>
      </c>
      <c r="H54" s="40"/>
      <c r="I54" s="5"/>
    </row>
    <row r="55" spans="1:84" s="56" customFormat="1" ht="15" x14ac:dyDescent="0.25">
      <c r="B55" s="41">
        <f t="shared" si="3"/>
        <v>4.1000000000000005</v>
      </c>
      <c r="C55" s="40" t="s">
        <v>47</v>
      </c>
      <c r="D55" s="75">
        <f>+(3*0.6*200)+(0.55*500)</f>
        <v>635</v>
      </c>
      <c r="E55" s="41" t="s">
        <v>29</v>
      </c>
      <c r="F55" s="71"/>
      <c r="G55" s="71">
        <f t="shared" si="2"/>
        <v>0</v>
      </c>
      <c r="H55" s="40"/>
      <c r="I55" s="5"/>
    </row>
    <row r="56" spans="1:84" s="56" customFormat="1" ht="15" x14ac:dyDescent="0.25">
      <c r="B56" s="41">
        <f t="shared" si="3"/>
        <v>4.2</v>
      </c>
      <c r="C56" s="40" t="s">
        <v>48</v>
      </c>
      <c r="D56" s="75">
        <v>635</v>
      </c>
      <c r="E56" s="41" t="s">
        <v>29</v>
      </c>
      <c r="F56" s="71"/>
      <c r="G56" s="71">
        <f t="shared" si="2"/>
        <v>0</v>
      </c>
      <c r="H56" s="40"/>
      <c r="I56" s="5"/>
    </row>
    <row r="57" spans="1:84" s="56" customFormat="1" ht="15" x14ac:dyDescent="0.25">
      <c r="B57" s="41">
        <f t="shared" si="3"/>
        <v>4.3</v>
      </c>
      <c r="C57" s="40" t="s">
        <v>49</v>
      </c>
      <c r="D57" s="75">
        <f>500*5.15</f>
        <v>2575</v>
      </c>
      <c r="E57" s="41" t="s">
        <v>29</v>
      </c>
      <c r="F57" s="71"/>
      <c r="G57" s="71">
        <f t="shared" si="2"/>
        <v>0</v>
      </c>
      <c r="H57" s="40"/>
      <c r="I57" s="5"/>
    </row>
    <row r="58" spans="1:84" s="56" customFormat="1" ht="15" x14ac:dyDescent="0.25">
      <c r="B58" s="41">
        <f t="shared" si="3"/>
        <v>4.3999999999999995</v>
      </c>
      <c r="C58" s="40" t="s">
        <v>50</v>
      </c>
      <c r="D58" s="75">
        <v>500</v>
      </c>
      <c r="E58" s="41" t="s">
        <v>32</v>
      </c>
      <c r="F58" s="71"/>
      <c r="G58" s="71">
        <f t="shared" si="2"/>
        <v>0</v>
      </c>
      <c r="H58" s="40"/>
      <c r="I58" s="5"/>
    </row>
    <row r="59" spans="1:84" s="56" customFormat="1" ht="15" x14ac:dyDescent="0.25">
      <c r="B59" s="41"/>
      <c r="C59" s="40"/>
      <c r="D59" s="75"/>
      <c r="E59" s="41"/>
      <c r="F59" s="80"/>
      <c r="G59" s="80"/>
      <c r="H59" s="40"/>
      <c r="I59" s="5"/>
    </row>
    <row r="60" spans="1:84" s="56" customFormat="1" ht="15.6" x14ac:dyDescent="0.3">
      <c r="B60" s="41"/>
      <c r="C60" s="40"/>
      <c r="D60" s="75"/>
      <c r="E60" s="41"/>
      <c r="F60" s="40"/>
      <c r="G60" s="77" t="s">
        <v>26</v>
      </c>
      <c r="H60" s="78">
        <f>SUM(G45:G59)</f>
        <v>0</v>
      </c>
      <c r="I60" s="5"/>
      <c r="J60" s="89"/>
    </row>
    <row r="61" spans="1:84" s="5" customFormat="1" ht="15.6" x14ac:dyDescent="0.3">
      <c r="B61" s="90"/>
      <c r="C61" s="90"/>
      <c r="D61" s="90"/>
      <c r="E61" s="90"/>
      <c r="F61" s="90"/>
      <c r="G61" s="90"/>
      <c r="H61" s="90"/>
      <c r="I61" s="56"/>
      <c r="J61" s="56"/>
      <c r="K61" s="56"/>
      <c r="L61" s="56"/>
      <c r="M61" s="56"/>
      <c r="N61" s="56"/>
    </row>
    <row r="62" spans="1:84" s="40" customFormat="1" ht="15.6" x14ac:dyDescent="0.3">
      <c r="A62" s="56"/>
      <c r="B62" s="131" t="s">
        <v>51</v>
      </c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</row>
    <row r="63" spans="1:84" s="5" customFormat="1" ht="15.6" x14ac:dyDescent="0.3">
      <c r="B63" s="69" t="s">
        <v>7</v>
      </c>
      <c r="C63" s="69" t="s">
        <v>8</v>
      </c>
      <c r="D63" s="69" t="s">
        <v>9</v>
      </c>
      <c r="E63" s="69" t="s">
        <v>10</v>
      </c>
      <c r="F63" s="69" t="s">
        <v>11</v>
      </c>
      <c r="G63" s="69" t="s">
        <v>12</v>
      </c>
      <c r="H63" s="69" t="s">
        <v>13</v>
      </c>
    </row>
    <row r="64" spans="1:84" s="56" customFormat="1" ht="15" x14ac:dyDescent="0.25">
      <c r="B64" s="72">
        <v>4.0999999999999996</v>
      </c>
      <c r="C64" s="82" t="s">
        <v>52</v>
      </c>
      <c r="D64" s="75">
        <v>3000</v>
      </c>
      <c r="E64" s="72" t="s">
        <v>29</v>
      </c>
      <c r="F64" s="71"/>
      <c r="G64" s="71">
        <f>+F64*D64</f>
        <v>0</v>
      </c>
      <c r="H64" s="40"/>
      <c r="I64" s="5"/>
    </row>
    <row r="65" spans="2:11" s="56" customFormat="1" ht="15" x14ac:dyDescent="0.25">
      <c r="B65" s="72"/>
      <c r="C65" s="82" t="s">
        <v>53</v>
      </c>
      <c r="D65" s="75">
        <v>1</v>
      </c>
      <c r="E65" s="72" t="s">
        <v>54</v>
      </c>
      <c r="F65" s="71"/>
      <c r="G65" s="71">
        <f>+F65*D65</f>
        <v>0</v>
      </c>
      <c r="H65" s="40"/>
      <c r="I65" s="5"/>
    </row>
    <row r="66" spans="2:11" s="56" customFormat="1" ht="15" x14ac:dyDescent="0.25">
      <c r="B66" s="72">
        <v>4.0999999999999996</v>
      </c>
      <c r="C66" s="40" t="s">
        <v>55</v>
      </c>
      <c r="D66" s="75">
        <f>500*2</f>
        <v>1000</v>
      </c>
      <c r="E66" s="41" t="s">
        <v>32</v>
      </c>
      <c r="F66" s="71"/>
      <c r="G66" s="71">
        <f>+F66*D66</f>
        <v>0</v>
      </c>
      <c r="H66" s="40"/>
      <c r="I66" s="5"/>
    </row>
    <row r="67" spans="2:11" s="56" customFormat="1" ht="15" x14ac:dyDescent="0.25">
      <c r="B67" s="72">
        <v>4.0999999999999996</v>
      </c>
      <c r="C67" s="40" t="s">
        <v>56</v>
      </c>
      <c r="D67" s="75">
        <v>1000</v>
      </c>
      <c r="E67" s="41" t="s">
        <v>29</v>
      </c>
      <c r="F67" s="71"/>
      <c r="G67" s="71">
        <f>+F67*D67</f>
        <v>0</v>
      </c>
      <c r="H67" s="40"/>
      <c r="I67" s="5"/>
    </row>
    <row r="68" spans="2:11" s="56" customFormat="1" ht="15" x14ac:dyDescent="0.25">
      <c r="B68" s="72">
        <v>4.0999999999999996</v>
      </c>
      <c r="C68" s="40" t="s">
        <v>57</v>
      </c>
      <c r="D68" s="75"/>
      <c r="E68" s="41"/>
      <c r="F68" s="71"/>
      <c r="G68" s="71"/>
      <c r="H68" s="40"/>
      <c r="I68" s="5"/>
    </row>
    <row r="69" spans="2:11" s="56" customFormat="1" ht="15" x14ac:dyDescent="0.25">
      <c r="B69" s="41"/>
      <c r="C69" s="40"/>
      <c r="D69" s="75"/>
      <c r="E69" s="41"/>
      <c r="F69" s="80"/>
      <c r="G69" s="80"/>
      <c r="H69" s="40"/>
      <c r="I69" s="5"/>
    </row>
    <row r="70" spans="2:11" s="56" customFormat="1" ht="15.6" x14ac:dyDescent="0.3">
      <c r="B70" s="41"/>
      <c r="C70" s="40"/>
      <c r="D70" s="75"/>
      <c r="E70" s="41"/>
      <c r="F70" s="80"/>
      <c r="G70" s="77" t="s">
        <v>26</v>
      </c>
      <c r="H70" s="97">
        <f>SUM(G64:G68)</f>
        <v>0</v>
      </c>
      <c r="I70" s="5"/>
    </row>
    <row r="71" spans="2:11" s="56" customFormat="1" ht="15" x14ac:dyDescent="0.25">
      <c r="B71" s="41"/>
      <c r="C71" s="40"/>
      <c r="D71" s="75"/>
      <c r="E71" s="41"/>
      <c r="F71" s="80"/>
      <c r="G71" s="80"/>
      <c r="H71" s="40"/>
      <c r="I71" s="5"/>
    </row>
    <row r="72" spans="2:11" s="56" customFormat="1" ht="31.2" x14ac:dyDescent="0.25">
      <c r="B72" s="87" t="s">
        <v>58</v>
      </c>
      <c r="C72" s="40"/>
      <c r="D72" s="75"/>
      <c r="E72" s="41"/>
      <c r="F72" s="80"/>
      <c r="G72" s="80"/>
      <c r="H72" s="40"/>
      <c r="I72" s="5"/>
      <c r="K72" s="132"/>
    </row>
    <row r="73" spans="2:11" s="5" customFormat="1" ht="15.6" x14ac:dyDescent="0.3">
      <c r="B73" s="69" t="s">
        <v>7</v>
      </c>
      <c r="C73" s="69" t="s">
        <v>8</v>
      </c>
      <c r="D73" s="69" t="s">
        <v>9</v>
      </c>
      <c r="E73" s="69" t="s">
        <v>10</v>
      </c>
      <c r="F73" s="69" t="s">
        <v>11</v>
      </c>
      <c r="G73" s="69" t="s">
        <v>12</v>
      </c>
      <c r="H73" s="69" t="s">
        <v>13</v>
      </c>
    </row>
    <row r="74" spans="2:11" s="56" customFormat="1" ht="15" x14ac:dyDescent="0.25">
      <c r="B74" s="41">
        <v>5.0999999999999996</v>
      </c>
      <c r="C74" s="82" t="s">
        <v>37</v>
      </c>
      <c r="D74" s="75">
        <f>100*0.45*0.6</f>
        <v>27</v>
      </c>
      <c r="E74" s="41" t="s">
        <v>34</v>
      </c>
      <c r="F74" s="71"/>
      <c r="G74" s="71">
        <f>+F74*D74</f>
        <v>0</v>
      </c>
      <c r="H74" s="40"/>
      <c r="I74" s="5"/>
    </row>
    <row r="75" spans="2:11" s="56" customFormat="1" ht="15" x14ac:dyDescent="0.25">
      <c r="B75" s="41">
        <f>+B74+0.1</f>
        <v>5.1999999999999993</v>
      </c>
      <c r="C75" s="98" t="s">
        <v>38</v>
      </c>
      <c r="D75" s="75">
        <f>100*0.6*0.3</f>
        <v>18</v>
      </c>
      <c r="E75" s="41" t="s">
        <v>34</v>
      </c>
      <c r="F75" s="71"/>
      <c r="G75" s="71">
        <f t="shared" ref="G75:G95" si="4">+F75*D75</f>
        <v>0</v>
      </c>
      <c r="H75" s="40"/>
      <c r="I75" s="5"/>
    </row>
    <row r="76" spans="2:11" s="56" customFormat="1" ht="15" x14ac:dyDescent="0.25">
      <c r="B76" s="41">
        <f t="shared" ref="B76:B82" si="5">+B75+0.1</f>
        <v>5.2999999999999989</v>
      </c>
      <c r="C76" s="40" t="s">
        <v>39</v>
      </c>
      <c r="D76" s="75">
        <f>+D74-D75</f>
        <v>9</v>
      </c>
      <c r="E76" s="41" t="s">
        <v>34</v>
      </c>
      <c r="F76" s="71"/>
      <c r="G76" s="71">
        <f t="shared" si="4"/>
        <v>0</v>
      </c>
      <c r="H76" s="40"/>
      <c r="I76" s="5"/>
    </row>
    <row r="77" spans="2:11" s="56" customFormat="1" ht="15" x14ac:dyDescent="0.25">
      <c r="B77" s="41">
        <f t="shared" si="5"/>
        <v>5.3999999999999986</v>
      </c>
      <c r="C77" s="40" t="s">
        <v>40</v>
      </c>
      <c r="D77" s="75">
        <f>100*0.25*0.45</f>
        <v>11.25</v>
      </c>
      <c r="E77" s="41" t="s">
        <v>34</v>
      </c>
      <c r="F77" s="71"/>
      <c r="G77" s="71">
        <f t="shared" si="4"/>
        <v>0</v>
      </c>
      <c r="H77" s="40"/>
      <c r="I77" s="5"/>
    </row>
    <row r="78" spans="2:11" s="56" customFormat="1" ht="15" x14ac:dyDescent="0.25">
      <c r="B78" s="41">
        <f t="shared" si="5"/>
        <v>5.4999999999999982</v>
      </c>
      <c r="C78" s="40" t="s">
        <v>41</v>
      </c>
      <c r="D78" s="75">
        <f>15*1*1*0.3</f>
        <v>4.5</v>
      </c>
      <c r="E78" s="41" t="s">
        <v>34</v>
      </c>
      <c r="F78" s="71"/>
      <c r="G78" s="71">
        <f t="shared" si="4"/>
        <v>0</v>
      </c>
      <c r="H78" s="40"/>
      <c r="I78" s="5"/>
    </row>
    <row r="79" spans="2:11" s="56" customFormat="1" ht="15" x14ac:dyDescent="0.25">
      <c r="B79" s="41">
        <f t="shared" si="5"/>
        <v>5.5999999999999979</v>
      </c>
      <c r="C79" s="40" t="s">
        <v>42</v>
      </c>
      <c r="D79" s="75">
        <f>100*3.5</f>
        <v>350</v>
      </c>
      <c r="E79" s="41" t="s">
        <v>29</v>
      </c>
      <c r="F79" s="71"/>
      <c r="G79" s="71">
        <f t="shared" si="4"/>
        <v>0</v>
      </c>
      <c r="H79" s="40"/>
      <c r="I79" s="5"/>
    </row>
    <row r="80" spans="2:11" s="56" customFormat="1" ht="15" x14ac:dyDescent="0.25">
      <c r="B80" s="41">
        <f t="shared" si="5"/>
        <v>5.6999999999999975</v>
      </c>
      <c r="C80" s="40" t="s">
        <v>59</v>
      </c>
      <c r="D80" s="75">
        <f>15*3.5*0.2*0.4</f>
        <v>4.2</v>
      </c>
      <c r="E80" s="41" t="s">
        <v>34</v>
      </c>
      <c r="F80" s="71"/>
      <c r="G80" s="71">
        <f t="shared" si="4"/>
        <v>0</v>
      </c>
      <c r="H80" s="40"/>
      <c r="I80" s="5"/>
    </row>
    <row r="81" spans="2:9" s="56" customFormat="1" ht="15.6" x14ac:dyDescent="0.3">
      <c r="B81" s="41">
        <f t="shared" si="5"/>
        <v>5.7999999999999972</v>
      </c>
      <c r="C81" s="40" t="s">
        <v>60</v>
      </c>
      <c r="D81" s="75">
        <f>200*0.2*0.4</f>
        <v>16</v>
      </c>
      <c r="E81" s="41" t="s">
        <v>34</v>
      </c>
      <c r="F81" s="71"/>
      <c r="G81" s="71">
        <f t="shared" si="4"/>
        <v>0</v>
      </c>
      <c r="H81" s="102"/>
      <c r="I81" s="5"/>
    </row>
    <row r="82" spans="2:9" s="56" customFormat="1" ht="15.6" x14ac:dyDescent="0.3">
      <c r="B82" s="41">
        <f t="shared" si="5"/>
        <v>5.8999999999999968</v>
      </c>
      <c r="C82" s="40" t="s">
        <v>47</v>
      </c>
      <c r="D82" s="75">
        <v>562.29999999999995</v>
      </c>
      <c r="E82" s="41" t="s">
        <v>29</v>
      </c>
      <c r="F82" s="71"/>
      <c r="G82" s="71">
        <f t="shared" si="4"/>
        <v>0</v>
      </c>
      <c r="H82" s="102"/>
      <c r="I82" s="5"/>
    </row>
    <row r="83" spans="2:9" s="56" customFormat="1" ht="15.6" x14ac:dyDescent="0.3">
      <c r="B83" s="43">
        <v>5.0999999999999996</v>
      </c>
      <c r="C83" s="40" t="s">
        <v>48</v>
      </c>
      <c r="D83" s="75">
        <v>562.29999999999995</v>
      </c>
      <c r="E83" s="41" t="s">
        <v>29</v>
      </c>
      <c r="F83" s="71"/>
      <c r="G83" s="71">
        <f t="shared" si="4"/>
        <v>0</v>
      </c>
      <c r="H83" s="102"/>
      <c r="I83" s="5"/>
    </row>
    <row r="84" spans="2:9" s="56" customFormat="1" ht="15.6" x14ac:dyDescent="0.3">
      <c r="B84" s="43">
        <v>5.0999999999999996</v>
      </c>
      <c r="C84" s="40" t="s">
        <v>61</v>
      </c>
      <c r="D84" s="75">
        <v>1</v>
      </c>
      <c r="E84" s="41" t="s">
        <v>21</v>
      </c>
      <c r="F84" s="71"/>
      <c r="G84" s="71">
        <f t="shared" si="4"/>
        <v>0</v>
      </c>
      <c r="H84" s="102"/>
      <c r="I84" s="5"/>
    </row>
    <row r="85" spans="2:9" s="56" customFormat="1" ht="15.6" x14ac:dyDescent="0.3">
      <c r="B85" s="43">
        <v>5.0999999999999996</v>
      </c>
      <c r="C85" s="40" t="s">
        <v>62</v>
      </c>
      <c r="D85" s="75">
        <v>1</v>
      </c>
      <c r="E85" s="41" t="s">
        <v>21</v>
      </c>
      <c r="F85" s="71"/>
      <c r="G85" s="71">
        <f t="shared" si="4"/>
        <v>0</v>
      </c>
      <c r="H85" s="102"/>
      <c r="I85" s="5"/>
    </row>
    <row r="86" spans="2:9" s="56" customFormat="1" ht="15.6" x14ac:dyDescent="0.3">
      <c r="B86" s="43">
        <v>5.0999999999999996</v>
      </c>
      <c r="C86" s="40" t="s">
        <v>63</v>
      </c>
      <c r="D86" s="75">
        <f>7*20</f>
        <v>140</v>
      </c>
      <c r="E86" s="41" t="s">
        <v>29</v>
      </c>
      <c r="F86" s="71"/>
      <c r="G86" s="71">
        <f t="shared" si="4"/>
        <v>0</v>
      </c>
      <c r="H86" s="102"/>
      <c r="I86" s="5"/>
    </row>
    <row r="87" spans="2:9" s="56" customFormat="1" ht="15.6" x14ac:dyDescent="0.3">
      <c r="B87" s="43">
        <v>5.0999999999999996</v>
      </c>
      <c r="C87" s="40" t="s">
        <v>64</v>
      </c>
      <c r="D87" s="75">
        <f>(6.35*19.5)-(2.5*1.7*2)-(1.25*4.9)</f>
        <v>109.19999999999999</v>
      </c>
      <c r="E87" s="41" t="s">
        <v>29</v>
      </c>
      <c r="F87" s="71"/>
      <c r="G87" s="71">
        <f t="shared" si="4"/>
        <v>0</v>
      </c>
      <c r="H87" s="102"/>
      <c r="I87" s="5"/>
    </row>
    <row r="88" spans="2:9" s="56" customFormat="1" ht="15.6" x14ac:dyDescent="0.3">
      <c r="B88" s="43">
        <v>5.0999999999999996</v>
      </c>
      <c r="C88" s="40" t="s">
        <v>65</v>
      </c>
      <c r="D88" s="75">
        <f>+(19.5+19.5+6.35+6.35)</f>
        <v>51.7</v>
      </c>
      <c r="E88" s="41" t="s">
        <v>32</v>
      </c>
      <c r="F88" s="71"/>
      <c r="G88" s="71">
        <f t="shared" si="4"/>
        <v>0</v>
      </c>
      <c r="H88" s="102"/>
      <c r="I88" s="5"/>
    </row>
    <row r="89" spans="2:9" s="56" customFormat="1" ht="15.6" x14ac:dyDescent="0.3">
      <c r="B89" s="43">
        <v>5.0999999999999996</v>
      </c>
      <c r="C89" s="40" t="s">
        <v>49</v>
      </c>
      <c r="D89" s="75">
        <v>562.29999999999995</v>
      </c>
      <c r="E89" s="41" t="s">
        <v>29</v>
      </c>
      <c r="F89" s="71"/>
      <c r="G89" s="71">
        <f t="shared" si="4"/>
        <v>0</v>
      </c>
      <c r="H89" s="102"/>
      <c r="I89" s="5"/>
    </row>
    <row r="90" spans="2:9" s="56" customFormat="1" ht="15.6" x14ac:dyDescent="0.3">
      <c r="B90" s="43">
        <v>5.0999999999999996</v>
      </c>
      <c r="C90" s="40" t="s">
        <v>66</v>
      </c>
      <c r="D90" s="100">
        <v>5</v>
      </c>
      <c r="E90" s="41" t="s">
        <v>21</v>
      </c>
      <c r="F90" s="71"/>
      <c r="G90" s="71">
        <f t="shared" si="4"/>
        <v>0</v>
      </c>
      <c r="H90" s="102"/>
      <c r="I90" s="5"/>
    </row>
    <row r="91" spans="2:9" s="56" customFormat="1" ht="15.6" x14ac:dyDescent="0.3">
      <c r="B91" s="43">
        <v>5.0999999999999996</v>
      </c>
      <c r="C91" s="40" t="s">
        <v>67</v>
      </c>
      <c r="D91" s="75">
        <f>+(1.4*1.02*4)+0.5</f>
        <v>6.2119999999999997</v>
      </c>
      <c r="E91" s="41" t="s">
        <v>29</v>
      </c>
      <c r="F91" s="71"/>
      <c r="G91" s="71">
        <f t="shared" si="4"/>
        <v>0</v>
      </c>
      <c r="H91" s="102"/>
      <c r="I91" s="5"/>
    </row>
    <row r="92" spans="2:9" s="56" customFormat="1" ht="15.6" x14ac:dyDescent="0.3">
      <c r="B92" s="43">
        <v>5.0999999999999996</v>
      </c>
      <c r="C92" s="40" t="s">
        <v>68</v>
      </c>
      <c r="D92" s="75">
        <f>6.21+2.1+2.1</f>
        <v>10.41</v>
      </c>
      <c r="E92" s="41" t="s">
        <v>29</v>
      </c>
      <c r="F92" s="71"/>
      <c r="G92" s="71">
        <f t="shared" si="4"/>
        <v>0</v>
      </c>
      <c r="H92" s="102"/>
      <c r="I92" s="5"/>
    </row>
    <row r="93" spans="2:9" s="56" customFormat="1" ht="15.6" x14ac:dyDescent="0.3">
      <c r="B93" s="43">
        <v>5.0999999999999996</v>
      </c>
      <c r="C93" s="40" t="s">
        <v>69</v>
      </c>
      <c r="D93" s="75">
        <v>1</v>
      </c>
      <c r="E93" s="41" t="s">
        <v>54</v>
      </c>
      <c r="F93" s="71"/>
      <c r="G93" s="71">
        <f t="shared" si="4"/>
        <v>0</v>
      </c>
      <c r="H93" s="102"/>
      <c r="I93" s="5"/>
    </row>
    <row r="94" spans="2:9" s="56" customFormat="1" ht="15.6" x14ac:dyDescent="0.3">
      <c r="B94" s="43">
        <v>5.0999999999999996</v>
      </c>
      <c r="C94" s="40" t="s">
        <v>70</v>
      </c>
      <c r="D94" s="75">
        <v>1</v>
      </c>
      <c r="E94" s="41" t="s">
        <v>54</v>
      </c>
      <c r="F94" s="71"/>
      <c r="G94" s="71">
        <f t="shared" si="4"/>
        <v>0</v>
      </c>
      <c r="H94" s="102"/>
      <c r="I94" s="5"/>
    </row>
    <row r="95" spans="2:9" s="56" customFormat="1" ht="15.6" x14ac:dyDescent="0.3">
      <c r="B95" s="43">
        <v>5.0999999999999996</v>
      </c>
      <c r="C95" s="40" t="s">
        <v>71</v>
      </c>
      <c r="D95" s="75">
        <v>1</v>
      </c>
      <c r="E95" s="41" t="s">
        <v>54</v>
      </c>
      <c r="F95" s="71"/>
      <c r="G95" s="71">
        <f t="shared" si="4"/>
        <v>0</v>
      </c>
      <c r="H95" s="102"/>
      <c r="I95" s="5"/>
    </row>
    <row r="96" spans="2:9" s="56" customFormat="1" ht="15.6" x14ac:dyDescent="0.3">
      <c r="B96" s="43"/>
      <c r="C96" s="40"/>
      <c r="D96" s="75"/>
      <c r="E96" s="41"/>
      <c r="F96" s="71"/>
      <c r="G96" s="71"/>
      <c r="H96" s="102"/>
      <c r="I96" s="5"/>
    </row>
    <row r="97" spans="2:9" s="56" customFormat="1" ht="15.6" x14ac:dyDescent="0.3">
      <c r="B97" s="41"/>
      <c r="C97" s="40"/>
      <c r="D97" s="75"/>
      <c r="E97" s="41"/>
      <c r="F97" s="80"/>
      <c r="G97" s="103"/>
      <c r="H97" s="102"/>
      <c r="I97" s="5"/>
    </row>
    <row r="98" spans="2:9" s="56" customFormat="1" ht="15.6" x14ac:dyDescent="0.3">
      <c r="B98" s="41"/>
      <c r="C98" s="40"/>
      <c r="D98" s="75"/>
      <c r="E98" s="41"/>
      <c r="F98" s="80"/>
      <c r="G98" s="77" t="s">
        <v>26</v>
      </c>
      <c r="H98" s="97">
        <f>SUM(G74:G96)</f>
        <v>0</v>
      </c>
      <c r="I98" s="5"/>
    </row>
    <row r="99" spans="2:9" s="56" customFormat="1" ht="15.6" x14ac:dyDescent="0.3">
      <c r="B99" s="41"/>
      <c r="C99" s="40"/>
      <c r="D99" s="75"/>
      <c r="E99" s="41"/>
      <c r="F99" s="80"/>
      <c r="G99" s="71"/>
      <c r="H99" s="102"/>
      <c r="I99" s="5"/>
    </row>
    <row r="100" spans="2:9" s="56" customFormat="1" ht="15.6" x14ac:dyDescent="0.3">
      <c r="B100" s="87" t="s">
        <v>72</v>
      </c>
      <c r="C100" s="40"/>
      <c r="D100" s="75"/>
      <c r="E100" s="41"/>
      <c r="F100" s="80"/>
      <c r="G100" s="71"/>
      <c r="H100" s="102"/>
      <c r="I100" s="5"/>
    </row>
    <row r="101" spans="2:9" s="56" customFormat="1" ht="15.6" x14ac:dyDescent="0.3">
      <c r="B101" s="41">
        <v>6.1</v>
      </c>
      <c r="C101" s="40" t="s">
        <v>73</v>
      </c>
      <c r="D101" s="75">
        <v>1</v>
      </c>
      <c r="E101" s="41" t="s">
        <v>54</v>
      </c>
      <c r="F101" s="80"/>
      <c r="G101" s="71">
        <f>+F101*D101</f>
        <v>0</v>
      </c>
      <c r="H101" s="102"/>
      <c r="I101" s="5"/>
    </row>
    <row r="102" spans="2:9" s="56" customFormat="1" ht="15.6" x14ac:dyDescent="0.3">
      <c r="B102" s="41">
        <v>6.2</v>
      </c>
      <c r="C102" s="40" t="s">
        <v>74</v>
      </c>
      <c r="D102" s="75">
        <v>1</v>
      </c>
      <c r="E102" s="41" t="s">
        <v>54</v>
      </c>
      <c r="F102" s="80"/>
      <c r="G102" s="71">
        <f>+F102*D102</f>
        <v>0</v>
      </c>
      <c r="H102" s="102"/>
      <c r="I102" s="5"/>
    </row>
    <row r="103" spans="2:9" s="56" customFormat="1" ht="15.6" x14ac:dyDescent="0.3">
      <c r="B103" s="41"/>
      <c r="C103" s="40"/>
      <c r="D103" s="75"/>
      <c r="E103" s="41"/>
      <c r="F103" s="80"/>
      <c r="G103" s="71"/>
      <c r="H103" s="102"/>
      <c r="I103" s="5"/>
    </row>
    <row r="104" spans="2:9" s="56" customFormat="1" ht="15.6" x14ac:dyDescent="0.3">
      <c r="B104" s="41"/>
      <c r="C104" s="40"/>
      <c r="D104" s="75"/>
      <c r="E104" s="41"/>
      <c r="F104" s="80"/>
      <c r="G104" s="77" t="s">
        <v>26</v>
      </c>
      <c r="H104" s="97">
        <f>SUM(G101:G102)</f>
        <v>0</v>
      </c>
      <c r="I104" s="5"/>
    </row>
    <row r="105" spans="2:9" s="56" customFormat="1" ht="15.6" x14ac:dyDescent="0.3">
      <c r="B105" s="41"/>
      <c r="C105" s="40"/>
      <c r="D105" s="75"/>
      <c r="E105" s="41"/>
      <c r="F105" s="80"/>
      <c r="G105" s="71"/>
      <c r="H105" s="102"/>
      <c r="I105" s="5"/>
    </row>
    <row r="106" spans="2:9" s="56" customFormat="1" ht="15.6" x14ac:dyDescent="0.3">
      <c r="B106" s="41"/>
      <c r="C106" s="40"/>
      <c r="D106" s="75"/>
      <c r="E106" s="41"/>
      <c r="F106" s="80"/>
      <c r="G106" s="71"/>
      <c r="H106" s="102"/>
      <c r="I106" s="5"/>
    </row>
    <row r="107" spans="2:9" s="56" customFormat="1" ht="15.6" x14ac:dyDescent="0.3">
      <c r="B107" s="41"/>
      <c r="C107" s="40"/>
      <c r="D107" s="75"/>
      <c r="E107" s="41"/>
      <c r="F107" s="80"/>
      <c r="G107" s="71"/>
      <c r="H107" s="102"/>
      <c r="I107" s="5"/>
    </row>
    <row r="108" spans="2:9" s="56" customFormat="1" ht="15.6" x14ac:dyDescent="0.3">
      <c r="B108" s="41"/>
      <c r="C108" s="40"/>
      <c r="D108" s="75"/>
      <c r="E108" s="41"/>
      <c r="F108" s="80"/>
      <c r="G108" s="71"/>
      <c r="H108" s="102"/>
      <c r="I108" s="5"/>
    </row>
    <row r="109" spans="2:9" s="56" customFormat="1" ht="15.6" x14ac:dyDescent="0.3">
      <c r="B109" s="41"/>
      <c r="C109" s="40"/>
      <c r="D109" s="75"/>
      <c r="E109" s="41"/>
      <c r="F109" s="80"/>
      <c r="G109" s="71"/>
      <c r="H109" s="102"/>
      <c r="I109" s="5"/>
    </row>
    <row r="110" spans="2:9" s="56" customFormat="1" ht="15.6" x14ac:dyDescent="0.3">
      <c r="B110" s="41"/>
      <c r="C110" s="40"/>
      <c r="D110" s="75"/>
      <c r="E110" s="41"/>
      <c r="F110" s="80"/>
      <c r="G110" s="71"/>
      <c r="H110" s="102"/>
      <c r="I110" s="5"/>
    </row>
    <row r="111" spans="2:9" s="56" customFormat="1" ht="15.6" x14ac:dyDescent="0.3">
      <c r="B111" s="41"/>
      <c r="C111" s="40"/>
      <c r="D111" s="75"/>
      <c r="E111" s="41"/>
      <c r="F111" s="80"/>
      <c r="G111" s="71"/>
      <c r="H111" s="102"/>
      <c r="I111" s="5"/>
    </row>
    <row r="112" spans="2:9" s="56" customFormat="1" ht="15.6" x14ac:dyDescent="0.3">
      <c r="B112" s="41"/>
      <c r="C112" s="40"/>
      <c r="D112" s="75"/>
      <c r="E112" s="41"/>
      <c r="F112" s="80"/>
      <c r="G112" s="71"/>
      <c r="H112" s="102"/>
      <c r="I112" s="5"/>
    </row>
    <row r="113" spans="2:9" s="56" customFormat="1" ht="15.6" x14ac:dyDescent="0.3">
      <c r="B113" s="68" t="s">
        <v>75</v>
      </c>
      <c r="C113" s="40"/>
      <c r="D113" s="75"/>
      <c r="E113" s="41"/>
      <c r="F113" s="80"/>
      <c r="G113" s="71"/>
      <c r="H113" s="102"/>
      <c r="I113" s="5"/>
    </row>
    <row r="114" spans="2:9" s="5" customFormat="1" ht="15.6" x14ac:dyDescent="0.3">
      <c r="B114" s="69" t="s">
        <v>7</v>
      </c>
      <c r="C114" s="69" t="s">
        <v>8</v>
      </c>
      <c r="D114" s="69" t="s">
        <v>9</v>
      </c>
      <c r="E114" s="69" t="s">
        <v>10</v>
      </c>
      <c r="F114" s="69" t="s">
        <v>11</v>
      </c>
      <c r="G114" s="69" t="s">
        <v>12</v>
      </c>
      <c r="H114" s="69" t="s">
        <v>13</v>
      </c>
    </row>
    <row r="115" spans="2:9" s="56" customFormat="1" ht="15" x14ac:dyDescent="0.25">
      <c r="B115" s="41">
        <v>7.1</v>
      </c>
      <c r="C115" s="40" t="s">
        <v>76</v>
      </c>
      <c r="D115" s="75">
        <v>1</v>
      </c>
      <c r="E115" s="41" t="s">
        <v>54</v>
      </c>
      <c r="F115" s="71"/>
      <c r="G115" s="71">
        <f>+F115*D115</f>
        <v>0</v>
      </c>
      <c r="H115" s="40"/>
      <c r="I115" s="5"/>
    </row>
    <row r="116" spans="2:9" s="56" customFormat="1" ht="15" x14ac:dyDescent="0.25">
      <c r="B116" s="41">
        <v>7.2</v>
      </c>
      <c r="C116" s="40" t="s">
        <v>77</v>
      </c>
      <c r="D116" s="75">
        <v>1</v>
      </c>
      <c r="E116" s="41" t="s">
        <v>54</v>
      </c>
      <c r="F116" s="71"/>
      <c r="G116" s="71">
        <f>+F116*D116</f>
        <v>0</v>
      </c>
      <c r="H116" s="40"/>
      <c r="I116" s="5"/>
    </row>
    <row r="117" spans="2:9" s="56" customFormat="1" ht="15" x14ac:dyDescent="0.25">
      <c r="B117" s="41">
        <v>7.3</v>
      </c>
      <c r="C117" s="40" t="s">
        <v>78</v>
      </c>
      <c r="D117" s="75">
        <v>10</v>
      </c>
      <c r="E117" s="41" t="s">
        <v>17</v>
      </c>
      <c r="F117" s="71"/>
      <c r="G117" s="71">
        <f>+F117*D117</f>
        <v>0</v>
      </c>
      <c r="H117" s="40"/>
      <c r="I117" s="5"/>
    </row>
    <row r="118" spans="2:9" s="56" customFormat="1" ht="15" x14ac:dyDescent="0.25">
      <c r="B118" s="41"/>
      <c r="C118" s="40"/>
      <c r="D118" s="75"/>
      <c r="E118" s="41"/>
      <c r="F118" s="80"/>
      <c r="G118" s="80"/>
      <c r="H118" s="40"/>
      <c r="I118" s="5"/>
    </row>
    <row r="119" spans="2:9" s="56" customFormat="1" ht="15" x14ac:dyDescent="0.25">
      <c r="B119" s="41"/>
      <c r="C119" s="40"/>
      <c r="D119" s="75"/>
      <c r="E119" s="41"/>
      <c r="F119" s="80"/>
      <c r="G119" s="80"/>
      <c r="H119" s="40"/>
      <c r="I119" s="5"/>
    </row>
    <row r="120" spans="2:9" s="56" customFormat="1" ht="15" x14ac:dyDescent="0.25">
      <c r="B120" s="41"/>
      <c r="C120" s="40"/>
      <c r="D120" s="75"/>
      <c r="E120" s="41"/>
      <c r="F120" s="80"/>
      <c r="G120" s="80"/>
      <c r="H120" s="40"/>
      <c r="I120" s="5"/>
    </row>
    <row r="121" spans="2:9" s="56" customFormat="1" ht="15.6" x14ac:dyDescent="0.3">
      <c r="B121" s="41"/>
      <c r="C121" s="40"/>
      <c r="D121" s="75"/>
      <c r="E121" s="41"/>
      <c r="F121" s="80"/>
      <c r="G121" s="77" t="s">
        <v>26</v>
      </c>
      <c r="H121" s="97">
        <f>SUM(G114:G120)</f>
        <v>0</v>
      </c>
      <c r="I121" s="5"/>
    </row>
    <row r="122" spans="2:9" s="56" customFormat="1" ht="15" x14ac:dyDescent="0.25">
      <c r="B122" s="41"/>
      <c r="C122" s="40"/>
      <c r="D122" s="75"/>
      <c r="E122" s="41"/>
      <c r="F122" s="80"/>
      <c r="G122" s="41"/>
      <c r="H122" s="41"/>
      <c r="I122" s="5"/>
    </row>
    <row r="123" spans="2:9" s="56" customFormat="1" ht="15" x14ac:dyDescent="0.25">
      <c r="B123" s="41"/>
      <c r="C123" s="40"/>
      <c r="D123" s="75"/>
      <c r="E123" s="41"/>
      <c r="F123" s="80"/>
      <c r="G123" s="41"/>
      <c r="H123" s="41"/>
      <c r="I123" s="5"/>
    </row>
    <row r="124" spans="2:9" s="56" customFormat="1" ht="15" x14ac:dyDescent="0.25">
      <c r="B124" s="41"/>
      <c r="C124" s="40"/>
      <c r="D124" s="75"/>
      <c r="E124" s="41"/>
      <c r="F124" s="80"/>
      <c r="G124" s="41"/>
      <c r="H124" s="41"/>
      <c r="I124" s="5"/>
    </row>
    <row r="125" spans="2:9" s="56" customFormat="1" ht="15.6" x14ac:dyDescent="0.3">
      <c r="B125" s="41"/>
      <c r="C125" s="40"/>
      <c r="D125" s="75"/>
      <c r="E125" s="41"/>
      <c r="F125" s="171" t="s">
        <v>79</v>
      </c>
      <c r="G125" s="172"/>
      <c r="H125" s="105">
        <f>+H121+H104+H98+H70+H60+H42+H32</f>
        <v>0</v>
      </c>
      <c r="I125" s="5"/>
    </row>
    <row r="126" spans="2:9" s="56" customFormat="1" ht="15" x14ac:dyDescent="0.25">
      <c r="B126" s="41"/>
      <c r="C126" s="40"/>
      <c r="D126" s="75"/>
      <c r="E126" s="41"/>
      <c r="F126" s="80"/>
      <c r="G126" s="80"/>
      <c r="H126" s="40"/>
      <c r="I126" s="5"/>
    </row>
    <row r="127" spans="2:9" s="56" customFormat="1" ht="15.6" x14ac:dyDescent="0.3">
      <c r="B127" s="106" t="s">
        <v>80</v>
      </c>
      <c r="C127" s="107"/>
      <c r="D127" s="75"/>
      <c r="E127" s="41"/>
      <c r="F127" s="80"/>
      <c r="G127" s="80"/>
      <c r="H127" s="40"/>
      <c r="I127" s="5"/>
    </row>
    <row r="128" spans="2:9" s="5" customFormat="1" ht="15.6" x14ac:dyDescent="0.3">
      <c r="B128" s="69" t="s">
        <v>7</v>
      </c>
      <c r="C128" s="69" t="s">
        <v>8</v>
      </c>
      <c r="D128" s="69" t="s">
        <v>9</v>
      </c>
      <c r="E128" s="69" t="s">
        <v>10</v>
      </c>
      <c r="F128" s="69" t="s">
        <v>11</v>
      </c>
      <c r="G128" s="69" t="s">
        <v>12</v>
      </c>
      <c r="H128" s="69" t="s">
        <v>13</v>
      </c>
    </row>
    <row r="129" spans="2:11" s="56" customFormat="1" ht="15.6" x14ac:dyDescent="0.25">
      <c r="B129" s="41">
        <v>7.1</v>
      </c>
      <c r="C129" s="108" t="s">
        <v>81</v>
      </c>
      <c r="D129" s="109">
        <v>4.4999999999999998E-2</v>
      </c>
      <c r="E129" s="41" t="s">
        <v>82</v>
      </c>
      <c r="F129" s="80">
        <f>+H125</f>
        <v>0</v>
      </c>
      <c r="G129" s="80">
        <f>+F129*D129</f>
        <v>0</v>
      </c>
      <c r="H129" s="110"/>
      <c r="I129" s="5"/>
    </row>
    <row r="130" spans="2:11" s="56" customFormat="1" ht="15.6" x14ac:dyDescent="0.25">
      <c r="B130" s="41">
        <f>+B129+0.1</f>
        <v>7.1999999999999993</v>
      </c>
      <c r="C130" s="108" t="s">
        <v>83</v>
      </c>
      <c r="D130" s="112">
        <v>3.0099999999999998E-2</v>
      </c>
      <c r="E130" s="41" t="s">
        <v>82</v>
      </c>
      <c r="F130" s="80">
        <f>+H125</f>
        <v>0</v>
      </c>
      <c r="G130" s="80">
        <f t="shared" ref="G130:G137" si="6">+F130*D130</f>
        <v>0</v>
      </c>
      <c r="H130" s="110"/>
      <c r="I130" s="5"/>
    </row>
    <row r="131" spans="2:11" s="56" customFormat="1" ht="15.6" x14ac:dyDescent="0.25">
      <c r="B131" s="41">
        <f t="shared" ref="B131:B137" si="7">+B130+0.1</f>
        <v>7.2999999999999989</v>
      </c>
      <c r="C131" s="108" t="s">
        <v>84</v>
      </c>
      <c r="D131" s="133">
        <v>2.09</v>
      </c>
      <c r="E131" s="41" t="s">
        <v>82</v>
      </c>
      <c r="F131" s="80">
        <f>+H125</f>
        <v>0</v>
      </c>
      <c r="G131" s="80">
        <f t="shared" si="6"/>
        <v>0</v>
      </c>
      <c r="H131" s="110"/>
      <c r="I131" s="5"/>
    </row>
    <row r="132" spans="2:11" s="56" customFormat="1" ht="15.6" x14ac:dyDescent="0.25">
      <c r="B132" s="41">
        <f t="shared" si="7"/>
        <v>7.3999999999999986</v>
      </c>
      <c r="C132" s="108" t="s">
        <v>85</v>
      </c>
      <c r="D132" s="112">
        <v>0.1</v>
      </c>
      <c r="E132" s="41" t="s">
        <v>82</v>
      </c>
      <c r="F132" s="80">
        <f>+H125</f>
        <v>0</v>
      </c>
      <c r="G132" s="80">
        <f t="shared" si="6"/>
        <v>0</v>
      </c>
      <c r="H132" s="110"/>
      <c r="I132" s="5"/>
    </row>
    <row r="133" spans="2:11" s="56" customFormat="1" ht="15.6" x14ac:dyDescent="0.25">
      <c r="B133" s="41">
        <f t="shared" si="7"/>
        <v>7.4999999999999982</v>
      </c>
      <c r="C133" s="108" t="s">
        <v>86</v>
      </c>
      <c r="D133" s="112">
        <v>0.03</v>
      </c>
      <c r="E133" s="41" t="s">
        <v>82</v>
      </c>
      <c r="F133" s="80">
        <f>+H125</f>
        <v>0</v>
      </c>
      <c r="G133" s="80">
        <f t="shared" si="6"/>
        <v>0</v>
      </c>
      <c r="H133" s="110"/>
      <c r="I133" s="5"/>
    </row>
    <row r="134" spans="2:11" s="56" customFormat="1" ht="15.6" x14ac:dyDescent="0.25">
      <c r="B134" s="41">
        <f t="shared" si="7"/>
        <v>7.5999999999999979</v>
      </c>
      <c r="C134" s="108" t="s">
        <v>87</v>
      </c>
      <c r="D134" s="112">
        <v>0.01</v>
      </c>
      <c r="E134" s="41" t="s">
        <v>82</v>
      </c>
      <c r="F134" s="80">
        <f>+H125</f>
        <v>0</v>
      </c>
      <c r="G134" s="80">
        <f t="shared" si="6"/>
        <v>0</v>
      </c>
      <c r="H134" s="110"/>
      <c r="I134" s="5"/>
    </row>
    <row r="135" spans="2:11" s="56" customFormat="1" ht="15.6" x14ac:dyDescent="0.25">
      <c r="B135" s="41">
        <f t="shared" si="7"/>
        <v>7.6999999999999975</v>
      </c>
      <c r="C135" s="108" t="s">
        <v>88</v>
      </c>
      <c r="D135" s="134">
        <v>1.0000000000000001E-5</v>
      </c>
      <c r="E135" s="41" t="s">
        <v>82</v>
      </c>
      <c r="F135" s="80">
        <f>+H125</f>
        <v>0</v>
      </c>
      <c r="G135" s="80">
        <f t="shared" si="6"/>
        <v>0</v>
      </c>
      <c r="H135" s="110"/>
      <c r="I135" s="5"/>
    </row>
    <row r="136" spans="2:11" s="56" customFormat="1" ht="15.6" x14ac:dyDescent="0.25">
      <c r="B136" s="41">
        <f t="shared" si="7"/>
        <v>7.7999999999999972</v>
      </c>
      <c r="C136" s="108" t="s">
        <v>89</v>
      </c>
      <c r="D136" s="109">
        <v>0.01</v>
      </c>
      <c r="E136" s="41" t="s">
        <v>82</v>
      </c>
      <c r="F136" s="80">
        <f>+H125</f>
        <v>0</v>
      </c>
      <c r="G136" s="80">
        <f t="shared" si="6"/>
        <v>0</v>
      </c>
      <c r="H136" s="110"/>
      <c r="I136" s="5"/>
    </row>
    <row r="137" spans="2:11" s="56" customFormat="1" ht="15.6" x14ac:dyDescent="0.25">
      <c r="B137" s="41">
        <f t="shared" si="7"/>
        <v>7.8999999999999968</v>
      </c>
      <c r="C137" s="108" t="s">
        <v>90</v>
      </c>
      <c r="D137" s="112">
        <v>0.18</v>
      </c>
      <c r="E137" s="41" t="s">
        <v>82</v>
      </c>
      <c r="F137" s="80">
        <f>+(F132)*0.1</f>
        <v>0</v>
      </c>
      <c r="G137" s="80">
        <f t="shared" si="6"/>
        <v>0</v>
      </c>
      <c r="H137" s="110"/>
      <c r="I137" s="5"/>
    </row>
    <row r="138" spans="2:11" s="56" customFormat="1" ht="15" x14ac:dyDescent="0.25">
      <c r="B138" s="41"/>
      <c r="C138" s="40"/>
      <c r="D138" s="135"/>
      <c r="E138" s="41"/>
      <c r="F138" s="80"/>
      <c r="G138" s="80"/>
      <c r="H138" s="40"/>
      <c r="I138" s="5"/>
    </row>
    <row r="139" spans="2:11" s="56" customFormat="1" ht="15.6" x14ac:dyDescent="0.3">
      <c r="B139" s="41"/>
      <c r="C139" s="40"/>
      <c r="D139" s="135"/>
      <c r="E139" s="41"/>
      <c r="F139" s="171" t="s">
        <v>91</v>
      </c>
      <c r="G139" s="172"/>
      <c r="H139" s="105">
        <f>SUM(G129:G137)</f>
        <v>0</v>
      </c>
      <c r="I139" s="5"/>
    </row>
    <row r="140" spans="2:11" s="56" customFormat="1" ht="15" x14ac:dyDescent="0.25">
      <c r="B140" s="41"/>
      <c r="C140" s="40"/>
      <c r="D140" s="135"/>
      <c r="E140" s="41"/>
      <c r="F140" s="80"/>
      <c r="G140" s="80"/>
      <c r="H140" s="40"/>
      <c r="I140" s="5"/>
    </row>
    <row r="141" spans="2:11" s="56" customFormat="1" ht="15" x14ac:dyDescent="0.25">
      <c r="B141" s="41"/>
      <c r="C141" s="40"/>
      <c r="D141" s="75"/>
      <c r="E141" s="41"/>
      <c r="F141" s="80"/>
      <c r="G141" s="80"/>
      <c r="H141" s="40"/>
      <c r="I141" s="5"/>
    </row>
    <row r="142" spans="2:11" s="56" customFormat="1" ht="15.6" x14ac:dyDescent="0.3">
      <c r="B142" s="41"/>
      <c r="C142" s="40"/>
      <c r="D142" s="75"/>
      <c r="E142" s="41"/>
      <c r="F142" s="171" t="s">
        <v>92</v>
      </c>
      <c r="G142" s="172"/>
      <c r="H142" s="105">
        <f>+H125+H139</f>
        <v>0</v>
      </c>
      <c r="I142" s="5"/>
    </row>
    <row r="143" spans="2:11" s="5" customFormat="1" ht="15" x14ac:dyDescent="0.25">
      <c r="B143" s="44"/>
      <c r="D143" s="45"/>
      <c r="K143" s="46"/>
    </row>
    <row r="144" spans="2:11" s="5" customFormat="1" ht="15" x14ac:dyDescent="0.25">
      <c r="B144" s="44"/>
      <c r="D144" s="45"/>
      <c r="K144" s="46"/>
    </row>
    <row r="145" spans="2:11" s="5" customFormat="1" ht="15" x14ac:dyDescent="0.25">
      <c r="B145" s="44"/>
      <c r="D145" s="45"/>
      <c r="K145" s="46"/>
    </row>
    <row r="146" spans="2:11" s="5" customFormat="1" ht="15" x14ac:dyDescent="0.25">
      <c r="B146" s="44"/>
      <c r="D146" s="45"/>
      <c r="K146" s="46"/>
    </row>
    <row r="147" spans="2:11" s="5" customFormat="1" ht="15" x14ac:dyDescent="0.25">
      <c r="B147" s="44"/>
      <c r="D147" s="136"/>
      <c r="G147" s="114"/>
      <c r="H147" s="117"/>
      <c r="K147" s="46"/>
    </row>
    <row r="148" spans="2:11" s="5" customFormat="1" ht="15" customHeight="1" x14ac:dyDescent="0.25">
      <c r="B148" s="173"/>
      <c r="C148" s="173"/>
      <c r="D148" s="173"/>
      <c r="E148" s="173"/>
      <c r="F148" s="173"/>
      <c r="G148" s="173"/>
      <c r="H148" s="173"/>
      <c r="I148" s="173"/>
      <c r="K148" s="46"/>
    </row>
    <row r="149" spans="2:11" s="5" customFormat="1" ht="15" customHeight="1" x14ac:dyDescent="0.25">
      <c r="B149" s="149" t="s">
        <v>93</v>
      </c>
      <c r="C149" s="149"/>
      <c r="D149" s="149"/>
      <c r="E149" s="149"/>
      <c r="F149" s="149"/>
      <c r="G149" s="149"/>
      <c r="H149" s="149"/>
      <c r="I149" s="149"/>
      <c r="K149" s="46"/>
    </row>
    <row r="150" spans="2:11" s="5" customFormat="1" ht="15" x14ac:dyDescent="0.25">
      <c r="B150" s="44"/>
      <c r="D150" s="45"/>
      <c r="G150" s="117"/>
      <c r="H150" s="114"/>
      <c r="K150" s="46"/>
    </row>
    <row r="151" spans="2:11" s="5" customFormat="1" ht="15.6" x14ac:dyDescent="0.25">
      <c r="B151" s="137"/>
      <c r="C151" s="148"/>
      <c r="D151" s="148"/>
      <c r="E151" s="148"/>
      <c r="F151" s="148"/>
      <c r="G151" s="148"/>
      <c r="H151" s="148"/>
      <c r="K151" s="46"/>
    </row>
    <row r="152" spans="2:11" s="5" customFormat="1" ht="15.6" x14ac:dyDescent="0.25">
      <c r="B152" s="138"/>
      <c r="C152" s="148"/>
      <c r="D152" s="148"/>
      <c r="E152" s="148"/>
      <c r="F152" s="148"/>
      <c r="G152" s="148"/>
      <c r="H152" s="148"/>
      <c r="I152" s="138"/>
      <c r="K152" s="46"/>
    </row>
    <row r="153" spans="2:11" s="5" customFormat="1" ht="15.6" x14ac:dyDescent="0.3">
      <c r="B153" s="44"/>
      <c r="C153" s="48"/>
      <c r="D153" s="121"/>
      <c r="E153" s="122"/>
      <c r="F153" s="123"/>
      <c r="G153" s="85"/>
      <c r="H153" s="125"/>
      <c r="K153" s="46"/>
    </row>
    <row r="154" spans="2:11" s="6" customFormat="1" ht="15.6" x14ac:dyDescent="0.25">
      <c r="E154" s="49"/>
      <c r="F154" s="50"/>
      <c r="G154" s="50"/>
      <c r="H154" s="125"/>
    </row>
    <row r="155" spans="2:11" s="6" customFormat="1" ht="15.6" x14ac:dyDescent="0.25">
      <c r="E155" s="49"/>
      <c r="F155" s="139"/>
      <c r="G155" s="50"/>
      <c r="H155" s="125"/>
    </row>
    <row r="156" spans="2:11" s="5" customFormat="1" ht="15.6" x14ac:dyDescent="0.25">
      <c r="D156" s="6"/>
      <c r="H156" s="126"/>
    </row>
    <row r="157" spans="2:11" s="5" customFormat="1" ht="15.6" x14ac:dyDescent="0.25">
      <c r="D157" s="6"/>
      <c r="H157" s="126"/>
    </row>
    <row r="158" spans="2:11" s="5" customFormat="1" ht="15.6" x14ac:dyDescent="0.25">
      <c r="D158" s="6"/>
      <c r="H158" s="126"/>
    </row>
    <row r="159" spans="2:11" s="5" customFormat="1" ht="15.6" x14ac:dyDescent="0.25">
      <c r="C159" s="149"/>
      <c r="D159" s="149"/>
      <c r="E159" s="149"/>
      <c r="F159" s="149"/>
      <c r="G159" s="149"/>
      <c r="H159" s="149"/>
      <c r="I159" s="149"/>
      <c r="J159" s="149"/>
    </row>
    <row r="160" spans="2:11" s="5" customFormat="1" ht="15.6" x14ac:dyDescent="0.25">
      <c r="C160" s="149"/>
      <c r="D160" s="149"/>
      <c r="E160" s="149"/>
      <c r="F160" s="149"/>
      <c r="G160" s="149"/>
      <c r="H160" s="149"/>
      <c r="I160" s="149"/>
      <c r="J160" s="149"/>
    </row>
    <row r="161" spans="4:6" s="5" customFormat="1" ht="15.6" x14ac:dyDescent="0.25">
      <c r="D161" s="6"/>
      <c r="F161" s="117"/>
    </row>
    <row r="162" spans="4:6" s="5" customFormat="1" ht="15.6" x14ac:dyDescent="0.25">
      <c r="D162" s="6"/>
      <c r="F162" s="117"/>
    </row>
    <row r="163" spans="4:6" s="5" customFormat="1" ht="15.6" x14ac:dyDescent="0.25">
      <c r="D163" s="6"/>
      <c r="F163" s="117"/>
    </row>
    <row r="164" spans="4:6" s="5" customFormat="1" ht="15.6" x14ac:dyDescent="0.25">
      <c r="D164" s="6"/>
      <c r="F164" s="117"/>
    </row>
    <row r="165" spans="4:6" s="5" customFormat="1" ht="15.6" x14ac:dyDescent="0.25">
      <c r="D165" s="6"/>
      <c r="F165" s="117"/>
    </row>
    <row r="166" spans="4:6" s="5" customFormat="1" ht="15.6" x14ac:dyDescent="0.25">
      <c r="D166" s="6"/>
      <c r="F166" s="117"/>
    </row>
    <row r="167" spans="4:6" x14ac:dyDescent="0.25">
      <c r="F167" s="128"/>
    </row>
    <row r="176" spans="4:6" ht="10.5" customHeight="1" x14ac:dyDescent="0.25"/>
    <row r="177" s="7" customFormat="1" ht="16.5" customHeight="1" x14ac:dyDescent="0.25"/>
    <row r="178" s="7" customFormat="1" ht="9.75" customHeight="1" x14ac:dyDescent="0.25"/>
    <row r="182" s="7" customFormat="1" ht="12.75" customHeight="1" x14ac:dyDescent="0.25"/>
    <row r="192" s="7" customFormat="1" ht="12.75" customHeight="1" x14ac:dyDescent="0.25"/>
    <row r="199" ht="13.5" customHeight="1" x14ac:dyDescent="0.25"/>
  </sheetData>
  <mergeCells count="22">
    <mergeCell ref="B3:H3"/>
    <mergeCell ref="B4:H4"/>
    <mergeCell ref="B5:H5"/>
    <mergeCell ref="B6:H6"/>
    <mergeCell ref="B9:H9"/>
    <mergeCell ref="B10:H10"/>
    <mergeCell ref="B12:H12"/>
    <mergeCell ref="B13:H13"/>
    <mergeCell ref="B14:H14"/>
    <mergeCell ref="B15:H15"/>
    <mergeCell ref="C151:H151"/>
    <mergeCell ref="C152:H152"/>
    <mergeCell ref="C159:J159"/>
    <mergeCell ref="C160:J160"/>
    <mergeCell ref="B16:B18"/>
    <mergeCell ref="C16:E18"/>
    <mergeCell ref="F16:H18"/>
    <mergeCell ref="F125:G125"/>
    <mergeCell ref="F139:G139"/>
    <mergeCell ref="F142:G142"/>
    <mergeCell ref="B148:I148"/>
    <mergeCell ref="B149:I149"/>
  </mergeCells>
  <pageMargins left="0.23622047244094499" right="0.23622047244094499" top="0.74803149606299202" bottom="0.74803149606299202" header="0.31496062992126" footer="0.31496062992126"/>
  <pageSetup scale="28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9"/>
  </sheetPr>
  <dimension ref="A1:CF189"/>
  <sheetViews>
    <sheetView zoomScale="82" zoomScaleNormal="82" zoomScaleSheetLayoutView="70" workbookViewId="0">
      <selection activeCell="F140" sqref="F140"/>
    </sheetView>
  </sheetViews>
  <sheetFormatPr baseColWidth="10" defaultColWidth="9.109375" defaultRowHeight="13.2" x14ac:dyDescent="0.25"/>
  <cols>
    <col min="1" max="1" width="5.33203125" style="7" customWidth="1"/>
    <col min="2" max="2" width="22.6640625" style="7" customWidth="1"/>
    <col min="3" max="3" width="121.44140625" style="7"/>
    <col min="4" max="4" width="14.88671875" style="7" customWidth="1"/>
    <col min="5" max="5" width="10.5546875" style="7"/>
    <col min="6" max="6" width="21.88671875" style="7"/>
    <col min="7" max="7" width="17.33203125" style="7" customWidth="1"/>
    <col min="8" max="8" width="29" style="7" customWidth="1"/>
    <col min="9" max="9" width="5.88671875" style="7" customWidth="1"/>
    <col min="10" max="10" width="12.6640625" style="7"/>
    <col min="11" max="11" width="15.6640625" style="7" customWidth="1"/>
    <col min="12" max="12" width="11.6640625" style="7"/>
    <col min="13" max="16384" width="9.109375" style="7"/>
  </cols>
  <sheetData>
    <row r="1" spans="2:16" s="1" customFormat="1" ht="20.399999999999999" x14ac:dyDescent="0.25">
      <c r="B1" s="184" t="s">
        <v>94</v>
      </c>
      <c r="C1" s="184"/>
      <c r="D1" s="184"/>
      <c r="E1" s="184"/>
      <c r="F1" s="184"/>
      <c r="G1" s="184"/>
      <c r="H1" s="184"/>
    </row>
    <row r="2" spans="2:16" s="1" customFormat="1" ht="15.6" x14ac:dyDescent="0.25">
      <c r="B2" s="185" t="s">
        <v>95</v>
      </c>
      <c r="C2" s="185"/>
      <c r="D2" s="185"/>
      <c r="E2" s="185"/>
      <c r="F2" s="185"/>
      <c r="G2" s="185"/>
      <c r="H2" s="185"/>
    </row>
    <row r="3" spans="2:16" s="1" customFormat="1" ht="15.6" x14ac:dyDescent="0.3">
      <c r="B3" s="186" t="s">
        <v>96</v>
      </c>
      <c r="C3" s="186"/>
      <c r="D3" s="186"/>
      <c r="E3" s="186"/>
      <c r="F3" s="186"/>
      <c r="G3" s="186"/>
      <c r="H3" s="186"/>
    </row>
    <row r="4" spans="2:16" s="1" customFormat="1" ht="17.399999999999999" x14ac:dyDescent="0.3">
      <c r="B4" s="186" t="s">
        <v>97</v>
      </c>
      <c r="C4" s="186"/>
      <c r="D4" s="186"/>
      <c r="E4" s="186"/>
      <c r="F4" s="186"/>
      <c r="G4" s="186"/>
      <c r="H4" s="186"/>
      <c r="I4" s="60"/>
      <c r="J4" s="60"/>
      <c r="K4" s="60"/>
      <c r="L4" s="61"/>
      <c r="M4" s="61"/>
      <c r="N4" s="61"/>
      <c r="O4" s="61"/>
      <c r="P4" s="61"/>
    </row>
    <row r="5" spans="2:16" s="1" customFormat="1" ht="17.399999999999999" x14ac:dyDescent="0.25">
      <c r="B5" s="174" t="s">
        <v>98</v>
      </c>
      <c r="C5" s="174"/>
      <c r="D5" s="174"/>
      <c r="E5" s="174"/>
      <c r="F5" s="174"/>
      <c r="G5" s="174"/>
      <c r="H5" s="174"/>
      <c r="I5" s="60"/>
      <c r="J5" s="60"/>
      <c r="K5" s="60"/>
      <c r="L5" s="61"/>
      <c r="M5" s="61"/>
      <c r="N5" s="61"/>
      <c r="O5" s="61"/>
      <c r="P5" s="61"/>
    </row>
    <row r="6" spans="2:16" s="1" customFormat="1" ht="18" x14ac:dyDescent="0.25">
      <c r="C6" s="62"/>
      <c r="D6" s="62"/>
      <c r="E6" s="62"/>
      <c r="F6" s="62"/>
      <c r="G6" s="62"/>
      <c r="H6" s="63">
        <v>45831</v>
      </c>
      <c r="I6" s="64"/>
      <c r="J6" s="60"/>
      <c r="K6" s="60"/>
      <c r="L6" s="61"/>
      <c r="M6" s="61"/>
      <c r="N6" s="61"/>
      <c r="O6" s="61"/>
      <c r="P6" s="61"/>
    </row>
    <row r="7" spans="2:16" s="1" customFormat="1" ht="20.399999999999999" x14ac:dyDescent="0.35">
      <c r="B7" s="191" t="s">
        <v>99</v>
      </c>
      <c r="C7" s="191"/>
      <c r="D7" s="191"/>
      <c r="E7" s="191"/>
      <c r="F7" s="191"/>
      <c r="G7" s="191"/>
      <c r="H7" s="191"/>
      <c r="I7" s="64"/>
      <c r="J7" s="60"/>
      <c r="K7" s="60"/>
      <c r="L7" s="61"/>
      <c r="M7" s="61"/>
      <c r="N7" s="61"/>
      <c r="O7" s="61"/>
      <c r="P7" s="61"/>
    </row>
    <row r="8" spans="2:16" s="1" customFormat="1" ht="18" x14ac:dyDescent="0.25">
      <c r="C8" s="62"/>
      <c r="D8" s="62"/>
      <c r="E8" s="62"/>
      <c r="F8" s="62"/>
      <c r="G8" s="62"/>
      <c r="H8" s="63"/>
      <c r="I8" s="64"/>
      <c r="J8" s="60"/>
      <c r="K8" s="60"/>
      <c r="L8" s="61"/>
      <c r="M8" s="61"/>
      <c r="N8" s="61"/>
      <c r="O8" s="61"/>
      <c r="P8" s="61"/>
    </row>
    <row r="9" spans="2:16" s="1" customFormat="1" ht="33" customHeight="1" x14ac:dyDescent="0.25">
      <c r="B9" s="192" t="s">
        <v>100</v>
      </c>
      <c r="C9" s="193"/>
      <c r="D9" s="193"/>
      <c r="E9" s="193"/>
      <c r="F9" s="193"/>
      <c r="G9" s="193"/>
      <c r="H9" s="194"/>
      <c r="I9" s="64"/>
      <c r="J9" s="64"/>
      <c r="K9" s="64"/>
      <c r="L9" s="64"/>
      <c r="M9" s="64"/>
      <c r="N9" s="64"/>
      <c r="O9" s="64"/>
      <c r="P9" s="64"/>
    </row>
    <row r="10" spans="2:16" s="1" customFormat="1" ht="18" x14ac:dyDescent="0.25">
      <c r="B10" s="195" t="s">
        <v>2</v>
      </c>
      <c r="C10" s="196"/>
      <c r="D10" s="196"/>
      <c r="E10" s="196"/>
      <c r="F10" s="196"/>
      <c r="G10" s="196"/>
      <c r="H10" s="197"/>
      <c r="I10" s="64"/>
      <c r="J10" s="65"/>
      <c r="K10" s="65"/>
      <c r="L10" s="66"/>
      <c r="M10" s="66"/>
      <c r="N10" s="66"/>
      <c r="O10" s="66"/>
      <c r="P10" s="66"/>
    </row>
    <row r="11" spans="2:16" s="1" customFormat="1" ht="18" x14ac:dyDescent="0.25">
      <c r="B11" s="195" t="s">
        <v>101</v>
      </c>
      <c r="C11" s="196"/>
      <c r="D11" s="196"/>
      <c r="E11" s="196"/>
      <c r="F11" s="196"/>
      <c r="G11" s="196"/>
      <c r="H11" s="197"/>
      <c r="I11" s="64"/>
      <c r="J11" s="66"/>
      <c r="K11" s="66"/>
      <c r="L11" s="66"/>
      <c r="M11" s="66"/>
      <c r="N11" s="66"/>
      <c r="O11" s="66"/>
      <c r="P11" s="66"/>
    </row>
    <row r="12" spans="2:16" s="1" customFormat="1" ht="18" x14ac:dyDescent="0.25">
      <c r="B12" s="198" t="s">
        <v>102</v>
      </c>
      <c r="C12" s="199"/>
      <c r="D12" s="199"/>
      <c r="E12" s="199"/>
      <c r="F12" s="199"/>
      <c r="G12" s="199"/>
      <c r="H12" s="200"/>
      <c r="I12" s="64"/>
      <c r="J12" s="64"/>
      <c r="K12" s="66"/>
      <c r="L12" s="66"/>
      <c r="M12" s="66"/>
      <c r="N12" s="66"/>
      <c r="O12" s="66"/>
      <c r="P12" s="66"/>
    </row>
    <row r="13" spans="2:16" s="4" customFormat="1" ht="18.600000000000001" customHeight="1" x14ac:dyDescent="0.2">
      <c r="B13" s="150" t="s">
        <v>3</v>
      </c>
      <c r="C13" s="153" t="s">
        <v>4</v>
      </c>
      <c r="D13" s="154"/>
      <c r="E13" s="155"/>
      <c r="F13" s="162" t="s">
        <v>103</v>
      </c>
      <c r="G13" s="163"/>
      <c r="H13" s="164"/>
      <c r="I13" s="67"/>
      <c r="J13" s="64"/>
    </row>
    <row r="14" spans="2:16" s="4" customFormat="1" ht="18.600000000000001" customHeight="1" x14ac:dyDescent="0.2">
      <c r="B14" s="151"/>
      <c r="C14" s="156"/>
      <c r="D14" s="157"/>
      <c r="E14" s="158"/>
      <c r="F14" s="165"/>
      <c r="G14" s="166"/>
      <c r="H14" s="167"/>
      <c r="I14" s="67"/>
      <c r="J14" s="64"/>
    </row>
    <row r="15" spans="2:16" s="4" customFormat="1" ht="18.600000000000001" customHeight="1" x14ac:dyDescent="0.2">
      <c r="B15" s="152"/>
      <c r="C15" s="159"/>
      <c r="D15" s="160"/>
      <c r="E15" s="161"/>
      <c r="F15" s="168"/>
      <c r="G15" s="169"/>
      <c r="H15" s="170"/>
      <c r="I15" s="67"/>
      <c r="J15" s="64"/>
    </row>
    <row r="16" spans="2:16" s="4" customFormat="1" ht="18.600000000000001" customHeight="1" x14ac:dyDescent="0.2"/>
    <row r="17" spans="2:8" s="5" customFormat="1" ht="37.799999999999997" customHeight="1" x14ac:dyDescent="0.25">
      <c r="B17" s="68" t="s">
        <v>104</v>
      </c>
      <c r="C17" s="40"/>
      <c r="D17" s="40"/>
      <c r="E17" s="40"/>
      <c r="F17" s="41"/>
      <c r="G17" s="40"/>
      <c r="H17" s="40"/>
    </row>
    <row r="18" spans="2:8" s="5" customFormat="1" ht="15.6" x14ac:dyDescent="0.3">
      <c r="B18" s="69" t="s">
        <v>7</v>
      </c>
      <c r="C18" s="69" t="s">
        <v>8</v>
      </c>
      <c r="D18" s="69" t="s">
        <v>9</v>
      </c>
      <c r="E18" s="69" t="s">
        <v>10</v>
      </c>
      <c r="F18" s="69" t="s">
        <v>11</v>
      </c>
      <c r="G18" s="69" t="s">
        <v>12</v>
      </c>
      <c r="H18" s="69" t="s">
        <v>13</v>
      </c>
    </row>
    <row r="19" spans="2:8" s="5" customFormat="1" ht="31.2" x14ac:dyDescent="0.25">
      <c r="B19" s="41">
        <v>1.1000000000000001</v>
      </c>
      <c r="C19" s="70" t="s">
        <v>14</v>
      </c>
      <c r="D19" s="71">
        <v>2</v>
      </c>
      <c r="E19" s="72" t="s">
        <v>15</v>
      </c>
      <c r="F19" s="71">
        <v>65000</v>
      </c>
      <c r="G19" s="71">
        <f>D19*F19</f>
        <v>130000</v>
      </c>
      <c r="H19" s="73"/>
    </row>
    <row r="20" spans="2:8" s="5" customFormat="1" ht="15.6" x14ac:dyDescent="0.25">
      <c r="B20" s="41">
        <f>+B19+0.1</f>
        <v>1.2000000000000002</v>
      </c>
      <c r="C20" s="74" t="s">
        <v>16</v>
      </c>
      <c r="D20" s="75">
        <v>9</v>
      </c>
      <c r="E20" s="41" t="s">
        <v>17</v>
      </c>
      <c r="F20" s="71">
        <v>15000</v>
      </c>
      <c r="G20" s="71">
        <f>D20*F20</f>
        <v>135000</v>
      </c>
      <c r="H20" s="73"/>
    </row>
    <row r="21" spans="2:8" s="5" customFormat="1" ht="15" x14ac:dyDescent="0.25">
      <c r="B21" s="41">
        <f>+B20+0.1</f>
        <v>1.3000000000000003</v>
      </c>
      <c r="C21" s="40" t="s">
        <v>18</v>
      </c>
      <c r="D21" s="75">
        <v>6</v>
      </c>
      <c r="E21" s="41" t="s">
        <v>15</v>
      </c>
      <c r="F21" s="71">
        <v>15000</v>
      </c>
      <c r="G21" s="71">
        <f>D21*F21</f>
        <v>90000</v>
      </c>
      <c r="H21" s="73"/>
    </row>
    <row r="22" spans="2:8" s="55" customFormat="1" ht="18.600000000000001" customHeight="1" x14ac:dyDescent="0.3">
      <c r="B22" s="76"/>
      <c r="C22" s="76"/>
      <c r="D22" s="76"/>
      <c r="E22" s="76"/>
      <c r="F22" s="76"/>
      <c r="G22" s="77" t="s">
        <v>26</v>
      </c>
      <c r="H22" s="78">
        <f>SUM(G19:G21)</f>
        <v>355000</v>
      </c>
    </row>
    <row r="23" spans="2:8" s="55" customFormat="1" ht="18.600000000000001" customHeight="1" x14ac:dyDescent="0.3">
      <c r="B23" s="76"/>
      <c r="C23" s="76"/>
      <c r="D23" s="76"/>
      <c r="E23" s="76"/>
      <c r="F23" s="76"/>
      <c r="G23" s="76"/>
      <c r="H23" s="76"/>
    </row>
    <row r="24" spans="2:8" s="5" customFormat="1" ht="59.4" customHeight="1" x14ac:dyDescent="0.25">
      <c r="B24" s="79" t="s">
        <v>105</v>
      </c>
      <c r="C24" s="40"/>
      <c r="D24" s="40"/>
      <c r="E24" s="40"/>
      <c r="F24" s="41"/>
      <c r="G24" s="40"/>
      <c r="H24" s="40"/>
    </row>
    <row r="25" spans="2:8" s="5" customFormat="1" ht="15.6" x14ac:dyDescent="0.3">
      <c r="B25" s="69" t="s">
        <v>7</v>
      </c>
      <c r="C25" s="69" t="s">
        <v>8</v>
      </c>
      <c r="D25" s="69" t="s">
        <v>9</v>
      </c>
      <c r="E25" s="69" t="s">
        <v>10</v>
      </c>
      <c r="F25" s="69" t="s">
        <v>11</v>
      </c>
      <c r="G25" s="69" t="s">
        <v>12</v>
      </c>
      <c r="H25" s="69" t="s">
        <v>13</v>
      </c>
    </row>
    <row r="26" spans="2:8" s="5" customFormat="1" ht="15" x14ac:dyDescent="0.25">
      <c r="B26" s="41">
        <v>2.1</v>
      </c>
      <c r="C26" s="40" t="s">
        <v>106</v>
      </c>
      <c r="D26" s="75">
        <v>17</v>
      </c>
      <c r="E26" s="41" t="s">
        <v>15</v>
      </c>
      <c r="F26" s="71">
        <f>+'An. Costo Cement. Montellano  '!H87</f>
        <v>82020.492560000013</v>
      </c>
      <c r="G26" s="71">
        <f>D26*F26</f>
        <v>1394348.3735200001</v>
      </c>
      <c r="H26" s="73"/>
    </row>
    <row r="27" spans="2:8" s="5" customFormat="1" ht="15" x14ac:dyDescent="0.25">
      <c r="B27" s="41">
        <f>+B26+0.1</f>
        <v>2.2000000000000002</v>
      </c>
      <c r="C27" s="40" t="s">
        <v>107</v>
      </c>
      <c r="D27" s="75">
        <v>25</v>
      </c>
      <c r="E27" s="41" t="s">
        <v>32</v>
      </c>
      <c r="F27" s="71">
        <v>5600.33</v>
      </c>
      <c r="G27" s="71">
        <f t="shared" ref="G27:G35" si="0">D27*F27</f>
        <v>140008.25</v>
      </c>
      <c r="H27" s="73"/>
    </row>
    <row r="28" spans="2:8" s="5" customFormat="1" ht="15" x14ac:dyDescent="0.25">
      <c r="B28" s="41">
        <f t="shared" ref="B28:B34" si="1">+B27+0.1</f>
        <v>2.3000000000000003</v>
      </c>
      <c r="C28" s="40" t="s">
        <v>108</v>
      </c>
      <c r="D28" s="75">
        <f>+(79*0.5*1.5)+(6*1.5*1.5*2)</f>
        <v>86.25</v>
      </c>
      <c r="E28" s="41" t="s">
        <v>34</v>
      </c>
      <c r="F28" s="71">
        <v>1800</v>
      </c>
      <c r="G28" s="71">
        <f t="shared" si="0"/>
        <v>155250</v>
      </c>
      <c r="H28" s="73"/>
    </row>
    <row r="29" spans="2:8" s="5" customFormat="1" ht="15" x14ac:dyDescent="0.25">
      <c r="B29" s="41">
        <f t="shared" si="1"/>
        <v>2.4000000000000004</v>
      </c>
      <c r="C29" s="40" t="s">
        <v>109</v>
      </c>
      <c r="D29" s="75">
        <v>9</v>
      </c>
      <c r="E29" s="41" t="s">
        <v>34</v>
      </c>
      <c r="F29" s="71">
        <v>2274.3200000000002</v>
      </c>
      <c r="G29" s="71">
        <f t="shared" si="0"/>
        <v>20468.88</v>
      </c>
      <c r="H29" s="73"/>
    </row>
    <row r="30" spans="2:8" s="5" customFormat="1" ht="15" x14ac:dyDescent="0.25">
      <c r="B30" s="41">
        <f t="shared" si="1"/>
        <v>2.5000000000000004</v>
      </c>
      <c r="C30" s="40" t="s">
        <v>110</v>
      </c>
      <c r="D30" s="75">
        <v>85</v>
      </c>
      <c r="E30" s="41" t="s">
        <v>32</v>
      </c>
      <c r="F30" s="71">
        <v>175</v>
      </c>
      <c r="G30" s="71">
        <f t="shared" si="0"/>
        <v>14875</v>
      </c>
      <c r="H30" s="73"/>
    </row>
    <row r="31" spans="2:8" s="5" customFormat="1" ht="15" x14ac:dyDescent="0.25">
      <c r="B31" s="41">
        <f t="shared" si="1"/>
        <v>2.6000000000000005</v>
      </c>
      <c r="C31" s="40" t="s">
        <v>55</v>
      </c>
      <c r="D31" s="75">
        <v>10</v>
      </c>
      <c r="E31" s="41" t="s">
        <v>32</v>
      </c>
      <c r="F31" s="71">
        <f>+'An. Costo Cement. Montellano  '!H41</f>
        <v>1443.193884</v>
      </c>
      <c r="G31" s="71">
        <f t="shared" si="0"/>
        <v>14431.938840000001</v>
      </c>
      <c r="H31" s="73"/>
    </row>
    <row r="32" spans="2:8" s="5" customFormat="1" ht="15" x14ac:dyDescent="0.25">
      <c r="B32" s="41">
        <f t="shared" si="1"/>
        <v>2.7000000000000006</v>
      </c>
      <c r="C32" s="40" t="s">
        <v>56</v>
      </c>
      <c r="D32" s="75">
        <v>15</v>
      </c>
      <c r="E32" s="41" t="s">
        <v>29</v>
      </c>
      <c r="F32" s="71">
        <f>+'An. Costo Cement. Montellano  '!H57</f>
        <v>1597.6803200000002</v>
      </c>
      <c r="G32" s="71">
        <f t="shared" si="0"/>
        <v>23965.204800000003</v>
      </c>
      <c r="H32" s="73"/>
    </row>
    <row r="33" spans="2:8" s="5" customFormat="1" ht="15" x14ac:dyDescent="0.25">
      <c r="B33" s="41">
        <f t="shared" si="1"/>
        <v>2.8000000000000007</v>
      </c>
      <c r="C33" s="40" t="s">
        <v>111</v>
      </c>
      <c r="D33" s="75">
        <v>40</v>
      </c>
      <c r="E33" s="41" t="s">
        <v>32</v>
      </c>
      <c r="F33" s="71">
        <v>175</v>
      </c>
      <c r="G33" s="71">
        <f t="shared" si="0"/>
        <v>7000</v>
      </c>
      <c r="H33" s="73"/>
    </row>
    <row r="34" spans="2:8" s="5" customFormat="1" ht="15" x14ac:dyDescent="0.25">
      <c r="B34" s="41">
        <f t="shared" si="1"/>
        <v>2.9000000000000008</v>
      </c>
      <c r="C34" s="40" t="s">
        <v>39</v>
      </c>
      <c r="D34" s="75">
        <f>+D28*1.3</f>
        <v>112.125</v>
      </c>
      <c r="E34" s="41" t="s">
        <v>34</v>
      </c>
      <c r="F34" s="71">
        <v>150</v>
      </c>
      <c r="G34" s="71">
        <f t="shared" si="0"/>
        <v>16818.75</v>
      </c>
      <c r="H34" s="73"/>
    </row>
    <row r="35" spans="2:8" s="5" customFormat="1" ht="15" x14ac:dyDescent="0.25">
      <c r="B35" s="43">
        <v>2.1</v>
      </c>
      <c r="C35" s="40" t="s">
        <v>112</v>
      </c>
      <c r="D35" s="75">
        <v>150</v>
      </c>
      <c r="E35" s="41" t="s">
        <v>34</v>
      </c>
      <c r="F35" s="71">
        <v>1834.73</v>
      </c>
      <c r="G35" s="71">
        <f t="shared" si="0"/>
        <v>275209.5</v>
      </c>
      <c r="H35" s="73"/>
    </row>
    <row r="36" spans="2:8" s="5" customFormat="1" ht="15" x14ac:dyDescent="0.25">
      <c r="B36" s="41"/>
      <c r="C36" s="40"/>
      <c r="D36" s="75"/>
      <c r="E36" s="41"/>
      <c r="F36" s="71"/>
      <c r="G36" s="71"/>
      <c r="H36" s="73"/>
    </row>
    <row r="37" spans="2:8" s="5" customFormat="1" ht="15.6" x14ac:dyDescent="0.3">
      <c r="B37" s="41"/>
      <c r="C37" s="40"/>
      <c r="D37" s="75"/>
      <c r="E37" s="41"/>
      <c r="F37" s="80"/>
      <c r="G37" s="77" t="s">
        <v>26</v>
      </c>
      <c r="H37" s="78">
        <f>SUM(G26:G35)</f>
        <v>2062375.8971599999</v>
      </c>
    </row>
    <row r="38" spans="2:8" s="5" customFormat="1" ht="60.6" customHeight="1" x14ac:dyDescent="0.25">
      <c r="B38" s="79" t="s">
        <v>113</v>
      </c>
      <c r="C38" s="40"/>
      <c r="D38" s="75"/>
      <c r="E38" s="41"/>
      <c r="F38" s="80"/>
      <c r="G38" s="80"/>
      <c r="H38" s="73"/>
    </row>
    <row r="39" spans="2:8" s="5" customFormat="1" ht="15.6" x14ac:dyDescent="0.3">
      <c r="B39" s="69" t="s">
        <v>7</v>
      </c>
      <c r="C39" s="69" t="s">
        <v>8</v>
      </c>
      <c r="D39" s="69" t="s">
        <v>9</v>
      </c>
      <c r="E39" s="69" t="s">
        <v>10</v>
      </c>
      <c r="F39" s="69" t="s">
        <v>11</v>
      </c>
      <c r="G39" s="69" t="s">
        <v>12</v>
      </c>
      <c r="H39" s="69" t="s">
        <v>13</v>
      </c>
    </row>
    <row r="40" spans="2:8" s="5" customFormat="1" ht="15" x14ac:dyDescent="0.25">
      <c r="B40" s="81" t="s">
        <v>114</v>
      </c>
      <c r="C40" s="40" t="s">
        <v>55</v>
      </c>
      <c r="D40" s="75">
        <v>78</v>
      </c>
      <c r="E40" s="75" t="s">
        <v>32</v>
      </c>
      <c r="F40" s="80">
        <v>1443.193884</v>
      </c>
      <c r="G40" s="80">
        <f>+F40*D40</f>
        <v>112569.12295200001</v>
      </c>
      <c r="H40" s="73"/>
    </row>
    <row r="41" spans="2:8" s="5" customFormat="1" ht="15" x14ac:dyDescent="0.25">
      <c r="B41" s="81" t="s">
        <v>115</v>
      </c>
      <c r="C41" s="40" t="s">
        <v>56</v>
      </c>
      <c r="D41" s="75">
        <v>232</v>
      </c>
      <c r="E41" s="75" t="s">
        <v>29</v>
      </c>
      <c r="F41" s="80">
        <v>1597.6803199999999</v>
      </c>
      <c r="G41" s="80">
        <f>+F41*D41</f>
        <v>370661.83424</v>
      </c>
      <c r="H41" s="73"/>
    </row>
    <row r="42" spans="2:8" s="5" customFormat="1" ht="15" x14ac:dyDescent="0.25">
      <c r="B42" s="81" t="s">
        <v>116</v>
      </c>
      <c r="C42" s="40" t="s">
        <v>39</v>
      </c>
      <c r="D42" s="75">
        <v>185.21555499999999</v>
      </c>
      <c r="E42" s="75" t="s">
        <v>34</v>
      </c>
      <c r="F42" s="80">
        <v>150</v>
      </c>
      <c r="G42" s="80">
        <f>+F42*D42</f>
        <v>27782.33325</v>
      </c>
      <c r="H42" s="73"/>
    </row>
    <row r="43" spans="2:8" s="5" customFormat="1" ht="15" x14ac:dyDescent="0.25">
      <c r="B43" s="81" t="s">
        <v>117</v>
      </c>
      <c r="C43" s="40" t="s">
        <v>112</v>
      </c>
      <c r="D43" s="75">
        <v>987.49998888000005</v>
      </c>
      <c r="E43" s="75" t="s">
        <v>34</v>
      </c>
      <c r="F43" s="80">
        <f>+F35</f>
        <v>1834.73</v>
      </c>
      <c r="G43" s="80">
        <f>+F43*D43</f>
        <v>1811795.8545978025</v>
      </c>
      <c r="H43" s="73"/>
    </row>
    <row r="44" spans="2:8" s="5" customFormat="1" ht="15" x14ac:dyDescent="0.25">
      <c r="B44" s="81" t="s">
        <v>118</v>
      </c>
      <c r="C44" s="82" t="s">
        <v>119</v>
      </c>
      <c r="D44" s="75">
        <v>2</v>
      </c>
      <c r="E44" s="41" t="s">
        <v>10</v>
      </c>
      <c r="F44" s="80">
        <f>+F26</f>
        <v>82020.492560000013</v>
      </c>
      <c r="G44" s="80">
        <f>+F44*D44</f>
        <v>164040.98512000003</v>
      </c>
      <c r="H44" s="73"/>
    </row>
    <row r="45" spans="2:8" s="5" customFormat="1" ht="15" customHeight="1" x14ac:dyDescent="0.3">
      <c r="B45" s="81"/>
      <c r="C45" s="40"/>
      <c r="D45" s="75"/>
      <c r="E45" s="41"/>
      <c r="F45" s="80"/>
      <c r="G45" s="77" t="s">
        <v>26</v>
      </c>
      <c r="H45" s="78">
        <f>SUM(G40:G44)</f>
        <v>2486850.1301598023</v>
      </c>
    </row>
    <row r="46" spans="2:8" s="5" customFormat="1" ht="15" customHeight="1" x14ac:dyDescent="0.3">
      <c r="B46" s="83"/>
      <c r="D46" s="45"/>
      <c r="E46" s="44"/>
      <c r="F46" s="84"/>
      <c r="G46" s="85"/>
      <c r="H46" s="86"/>
    </row>
    <row r="47" spans="2:8" s="5" customFormat="1" ht="15" x14ac:dyDescent="0.25">
      <c r="B47" s="83"/>
      <c r="D47" s="45"/>
      <c r="E47" s="44"/>
      <c r="F47" s="84"/>
      <c r="G47" s="84"/>
      <c r="H47" s="46"/>
    </row>
    <row r="48" spans="2:8" s="5" customFormat="1" ht="64.8" customHeight="1" x14ac:dyDescent="0.25">
      <c r="B48" s="87" t="s">
        <v>120</v>
      </c>
      <c r="C48" s="40"/>
      <c r="D48" s="75"/>
      <c r="E48" s="41"/>
      <c r="F48" s="80"/>
      <c r="G48" s="80"/>
      <c r="H48" s="73"/>
    </row>
    <row r="49" spans="2:8" s="5" customFormat="1" ht="15.6" x14ac:dyDescent="0.3">
      <c r="B49" s="88" t="s">
        <v>7</v>
      </c>
      <c r="C49" s="88" t="s">
        <v>8</v>
      </c>
      <c r="D49" s="88" t="s">
        <v>9</v>
      </c>
      <c r="E49" s="88" t="s">
        <v>10</v>
      </c>
      <c r="F49" s="88" t="s">
        <v>11</v>
      </c>
      <c r="G49" s="88" t="s">
        <v>12</v>
      </c>
      <c r="H49" s="88" t="s">
        <v>13</v>
      </c>
    </row>
    <row r="50" spans="2:8" s="5" customFormat="1" ht="15" x14ac:dyDescent="0.25">
      <c r="B50" s="81" t="s">
        <v>114</v>
      </c>
      <c r="C50" s="40" t="s">
        <v>121</v>
      </c>
      <c r="D50" s="75">
        <v>14</v>
      </c>
      <c r="E50" s="41" t="s">
        <v>15</v>
      </c>
      <c r="F50" s="80">
        <v>1981.5</v>
      </c>
      <c r="G50" s="80">
        <f>+F50*D50</f>
        <v>27741</v>
      </c>
      <c r="H50" s="73"/>
    </row>
    <row r="51" spans="2:8" s="5" customFormat="1" ht="15" x14ac:dyDescent="0.25">
      <c r="B51" s="81" t="s">
        <v>116</v>
      </c>
      <c r="C51" s="40" t="s">
        <v>122</v>
      </c>
      <c r="D51" s="75">
        <v>25</v>
      </c>
      <c r="E51" s="41" t="s">
        <v>32</v>
      </c>
      <c r="F51" s="80">
        <v>340.59876450000002</v>
      </c>
      <c r="G51" s="80">
        <f t="shared" ref="G51:G62" si="2">+F51*D51</f>
        <v>8514.9691125000008</v>
      </c>
      <c r="H51" s="73"/>
    </row>
    <row r="52" spans="2:8" s="5" customFormat="1" ht="15" x14ac:dyDescent="0.25">
      <c r="B52" s="81" t="s">
        <v>117</v>
      </c>
      <c r="C52" s="40" t="s">
        <v>123</v>
      </c>
      <c r="D52" s="75">
        <v>2</v>
      </c>
      <c r="E52" s="41" t="s">
        <v>15</v>
      </c>
      <c r="F52" s="80">
        <v>50000</v>
      </c>
      <c r="G52" s="80">
        <f t="shared" si="2"/>
        <v>100000</v>
      </c>
      <c r="H52" s="73"/>
    </row>
    <row r="53" spans="2:8" s="5" customFormat="1" ht="15" x14ac:dyDescent="0.25">
      <c r="B53" s="81" t="s">
        <v>118</v>
      </c>
      <c r="C53" s="40" t="s">
        <v>124</v>
      </c>
      <c r="D53" s="75">
        <v>1</v>
      </c>
      <c r="E53" s="41" t="s">
        <v>54</v>
      </c>
      <c r="F53" s="80">
        <f>1800+0.88</f>
        <v>1800.88</v>
      </c>
      <c r="G53" s="80">
        <f t="shared" si="2"/>
        <v>1800.88</v>
      </c>
      <c r="H53" s="73"/>
    </row>
    <row r="54" spans="2:8" s="5" customFormat="1" ht="15" x14ac:dyDescent="0.25">
      <c r="B54" s="81" t="s">
        <v>125</v>
      </c>
      <c r="C54" s="40" t="s">
        <v>126</v>
      </c>
      <c r="D54" s="75">
        <v>1</v>
      </c>
      <c r="E54" s="41" t="s">
        <v>54</v>
      </c>
      <c r="F54" s="80">
        <v>820.41</v>
      </c>
      <c r="G54" s="80">
        <f t="shared" si="2"/>
        <v>820.41</v>
      </c>
      <c r="H54" s="73"/>
    </row>
    <row r="55" spans="2:8" s="5" customFormat="1" ht="15" x14ac:dyDescent="0.25">
      <c r="B55" s="81" t="s">
        <v>127</v>
      </c>
      <c r="C55" s="40" t="s">
        <v>128</v>
      </c>
      <c r="D55" s="75">
        <v>6</v>
      </c>
      <c r="E55" s="41" t="s">
        <v>15</v>
      </c>
      <c r="F55" s="80">
        <v>2206.7199999999998</v>
      </c>
      <c r="G55" s="80">
        <f t="shared" si="2"/>
        <v>13240.32</v>
      </c>
      <c r="H55" s="73"/>
    </row>
    <row r="56" spans="2:8" s="5" customFormat="1" ht="15" x14ac:dyDescent="0.25">
      <c r="B56" s="81" t="s">
        <v>129</v>
      </c>
      <c r="C56" s="40" t="s">
        <v>130</v>
      </c>
      <c r="D56" s="75">
        <v>2</v>
      </c>
      <c r="E56" s="41" t="s">
        <v>15</v>
      </c>
      <c r="F56" s="80">
        <v>7500</v>
      </c>
      <c r="G56" s="80">
        <f t="shared" si="2"/>
        <v>15000</v>
      </c>
      <c r="H56" s="73"/>
    </row>
    <row r="57" spans="2:8" s="5" customFormat="1" ht="15" x14ac:dyDescent="0.25">
      <c r="B57" s="81" t="s">
        <v>131</v>
      </c>
      <c r="C57" s="40" t="s">
        <v>132</v>
      </c>
      <c r="D57" s="75">
        <v>12</v>
      </c>
      <c r="E57" s="41" t="s">
        <v>15</v>
      </c>
      <c r="F57" s="80">
        <v>8333.3333333333303</v>
      </c>
      <c r="G57" s="80">
        <f t="shared" si="2"/>
        <v>99999.999999999971</v>
      </c>
      <c r="H57" s="73"/>
    </row>
    <row r="58" spans="2:8" s="5" customFormat="1" ht="15" x14ac:dyDescent="0.25">
      <c r="B58" s="81" t="s">
        <v>133</v>
      </c>
      <c r="C58" s="40" t="s">
        <v>134</v>
      </c>
      <c r="D58" s="75">
        <v>15</v>
      </c>
      <c r="E58" s="41" t="s">
        <v>15</v>
      </c>
      <c r="F58" s="80">
        <v>4500</v>
      </c>
      <c r="G58" s="80">
        <f t="shared" si="2"/>
        <v>67500</v>
      </c>
      <c r="H58" s="73"/>
    </row>
    <row r="59" spans="2:8" s="5" customFormat="1" ht="15" x14ac:dyDescent="0.25">
      <c r="B59" s="81" t="s">
        <v>135</v>
      </c>
      <c r="C59" s="40" t="s">
        <v>136</v>
      </c>
      <c r="D59" s="75">
        <v>3</v>
      </c>
      <c r="E59" s="41" t="s">
        <v>15</v>
      </c>
      <c r="F59" s="80">
        <v>9800</v>
      </c>
      <c r="G59" s="80">
        <f t="shared" si="2"/>
        <v>29400</v>
      </c>
      <c r="H59" s="73"/>
    </row>
    <row r="60" spans="2:8" s="5" customFormat="1" ht="15" x14ac:dyDescent="0.25">
      <c r="B60" s="81" t="s">
        <v>137</v>
      </c>
      <c r="C60" s="40" t="s">
        <v>138</v>
      </c>
      <c r="D60" s="75">
        <v>18.649999999999999</v>
      </c>
      <c r="E60" s="41" t="s">
        <v>139</v>
      </c>
      <c r="F60" s="80">
        <v>850</v>
      </c>
      <c r="G60" s="80">
        <f t="shared" si="2"/>
        <v>15852.499999999998</v>
      </c>
      <c r="H60" s="73"/>
    </row>
    <row r="61" spans="2:8" s="5" customFormat="1" ht="15" x14ac:dyDescent="0.25">
      <c r="B61" s="81" t="s">
        <v>140</v>
      </c>
      <c r="C61" s="40" t="s">
        <v>141</v>
      </c>
      <c r="D61" s="75">
        <v>48.396599999999999</v>
      </c>
      <c r="E61" s="41" t="s">
        <v>32</v>
      </c>
      <c r="F61" s="80">
        <v>450</v>
      </c>
      <c r="G61" s="80">
        <f t="shared" si="2"/>
        <v>21778.47</v>
      </c>
      <c r="H61" s="73"/>
    </row>
    <row r="62" spans="2:8" s="5" customFormat="1" ht="15" x14ac:dyDescent="0.25">
      <c r="B62" s="81" t="s">
        <v>142</v>
      </c>
      <c r="C62" s="40" t="s">
        <v>143</v>
      </c>
      <c r="D62" s="75">
        <v>375.69888800000001</v>
      </c>
      <c r="E62" s="75" t="s">
        <v>34</v>
      </c>
      <c r="F62" s="80">
        <v>275</v>
      </c>
      <c r="G62" s="80">
        <f t="shared" si="2"/>
        <v>103317.1942</v>
      </c>
      <c r="H62" s="73"/>
    </row>
    <row r="63" spans="2:8" s="5" customFormat="1" ht="15.6" x14ac:dyDescent="0.3">
      <c r="B63" s="81"/>
      <c r="C63" s="40"/>
      <c r="D63" s="75"/>
      <c r="E63" s="41"/>
      <c r="F63" s="80"/>
      <c r="G63" s="77" t="s">
        <v>26</v>
      </c>
      <c r="H63" s="78">
        <f>SUM(G50:G62)</f>
        <v>504965.74331249995</v>
      </c>
    </row>
    <row r="64" spans="2:8" s="5" customFormat="1" ht="15" x14ac:dyDescent="0.25">
      <c r="B64" s="81"/>
      <c r="C64" s="40"/>
      <c r="D64" s="75"/>
      <c r="E64" s="41"/>
      <c r="F64" s="80"/>
      <c r="G64" s="80"/>
      <c r="H64" s="73"/>
    </row>
    <row r="65" spans="1:84" s="5" customFormat="1" ht="41.4" x14ac:dyDescent="0.25">
      <c r="B65" s="79" t="s">
        <v>144</v>
      </c>
      <c r="C65" s="40"/>
      <c r="D65" s="75"/>
      <c r="E65" s="41"/>
      <c r="F65" s="75"/>
      <c r="G65" s="75"/>
      <c r="H65" s="40"/>
    </row>
    <row r="66" spans="1:84" s="5" customFormat="1" ht="15.6" x14ac:dyDescent="0.3">
      <c r="B66" s="69" t="s">
        <v>7</v>
      </c>
      <c r="C66" s="69" t="s">
        <v>8</v>
      </c>
      <c r="D66" s="69" t="s">
        <v>9</v>
      </c>
      <c r="E66" s="69" t="s">
        <v>10</v>
      </c>
      <c r="F66" s="69" t="s">
        <v>11</v>
      </c>
      <c r="G66" s="69" t="s">
        <v>12</v>
      </c>
      <c r="H66" s="69" t="s">
        <v>13</v>
      </c>
    </row>
    <row r="67" spans="1:84" s="5" customFormat="1" ht="15" x14ac:dyDescent="0.25">
      <c r="B67" s="41">
        <v>3.1</v>
      </c>
      <c r="C67" s="40" t="s">
        <v>110</v>
      </c>
      <c r="D67" s="75">
        <v>150</v>
      </c>
      <c r="E67" s="41" t="s">
        <v>32</v>
      </c>
      <c r="F67" s="71">
        <f>+F33</f>
        <v>175</v>
      </c>
      <c r="G67" s="71">
        <f>+F67*D67</f>
        <v>26250</v>
      </c>
      <c r="H67" s="40"/>
    </row>
    <row r="68" spans="1:84" s="56" customFormat="1" ht="15" x14ac:dyDescent="0.25">
      <c r="B68" s="41">
        <f>+B67+0.1</f>
        <v>3.2</v>
      </c>
      <c r="C68" s="40" t="s">
        <v>107</v>
      </c>
      <c r="D68" s="75">
        <v>33</v>
      </c>
      <c r="E68" s="41" t="s">
        <v>32</v>
      </c>
      <c r="F68" s="71">
        <f>+F27</f>
        <v>5600.33</v>
      </c>
      <c r="G68" s="71">
        <f t="shared" ref="G68:G74" si="3">+F68*D68</f>
        <v>184810.88999999998</v>
      </c>
      <c r="H68" s="40"/>
      <c r="I68" s="5"/>
    </row>
    <row r="69" spans="1:84" s="56" customFormat="1" ht="15" x14ac:dyDescent="0.25">
      <c r="B69" s="41">
        <f t="shared" ref="B69:B74" si="4">+B68+0.1</f>
        <v>3.3000000000000003</v>
      </c>
      <c r="C69" s="40" t="s">
        <v>108</v>
      </c>
      <c r="D69" s="75">
        <f>15*1.5*0.5</f>
        <v>11.25</v>
      </c>
      <c r="E69" s="41" t="s">
        <v>34</v>
      </c>
      <c r="F69" s="71">
        <f>+F28</f>
        <v>1800</v>
      </c>
      <c r="G69" s="71">
        <f t="shared" si="3"/>
        <v>20250</v>
      </c>
      <c r="H69" s="40"/>
      <c r="I69" s="5"/>
    </row>
    <row r="70" spans="1:84" s="56" customFormat="1" ht="15" x14ac:dyDescent="0.25">
      <c r="B70" s="41">
        <f t="shared" si="4"/>
        <v>3.4000000000000004</v>
      </c>
      <c r="C70" s="40" t="s">
        <v>145</v>
      </c>
      <c r="D70" s="75">
        <f>15*0.6*0.1</f>
        <v>0.9</v>
      </c>
      <c r="E70" s="41" t="s">
        <v>34</v>
      </c>
      <c r="F70" s="71">
        <f>+F29</f>
        <v>2274.3200000000002</v>
      </c>
      <c r="G70" s="71">
        <f t="shared" si="3"/>
        <v>2046.8880000000001</v>
      </c>
      <c r="H70" s="40"/>
      <c r="I70" s="5"/>
    </row>
    <row r="71" spans="1:84" s="56" customFormat="1" ht="15" x14ac:dyDescent="0.25">
      <c r="B71" s="41">
        <f t="shared" si="4"/>
        <v>3.5000000000000004</v>
      </c>
      <c r="C71" s="40" t="s">
        <v>39</v>
      </c>
      <c r="D71" s="75">
        <f>+D69*1.3</f>
        <v>14.625</v>
      </c>
      <c r="E71" s="41" t="s">
        <v>34</v>
      </c>
      <c r="F71" s="71">
        <f>+F34</f>
        <v>150</v>
      </c>
      <c r="G71" s="71">
        <f t="shared" si="3"/>
        <v>2193.75</v>
      </c>
      <c r="H71" s="40"/>
      <c r="I71" s="5"/>
    </row>
    <row r="72" spans="1:84" s="56" customFormat="1" ht="15" x14ac:dyDescent="0.25">
      <c r="B72" s="41">
        <f t="shared" si="4"/>
        <v>3.6000000000000005</v>
      </c>
      <c r="C72" s="40" t="s">
        <v>112</v>
      </c>
      <c r="D72" s="75">
        <f>+D69*1.17</f>
        <v>13.1625</v>
      </c>
      <c r="E72" s="41" t="s">
        <v>34</v>
      </c>
      <c r="F72" s="71">
        <f>+F35</f>
        <v>1834.73</v>
      </c>
      <c r="G72" s="71">
        <f t="shared" si="3"/>
        <v>24149.633624999999</v>
      </c>
      <c r="H72" s="40"/>
      <c r="I72" s="5"/>
    </row>
    <row r="73" spans="1:84" s="56" customFormat="1" ht="15" x14ac:dyDescent="0.25">
      <c r="B73" s="41">
        <f t="shared" si="4"/>
        <v>3.7000000000000006</v>
      </c>
      <c r="C73" s="40" t="s">
        <v>55</v>
      </c>
      <c r="D73" s="75">
        <v>25</v>
      </c>
      <c r="E73" s="41" t="s">
        <v>32</v>
      </c>
      <c r="F73" s="71">
        <f>+F31</f>
        <v>1443.193884</v>
      </c>
      <c r="G73" s="71">
        <f t="shared" si="3"/>
        <v>36079.847099999999</v>
      </c>
      <c r="H73" s="40"/>
      <c r="I73" s="5"/>
    </row>
    <row r="74" spans="1:84" s="56" customFormat="1" ht="15" x14ac:dyDescent="0.25">
      <c r="B74" s="41">
        <f t="shared" si="4"/>
        <v>3.8000000000000007</v>
      </c>
      <c r="C74" s="40" t="s">
        <v>56</v>
      </c>
      <c r="D74" s="75">
        <v>10</v>
      </c>
      <c r="E74" s="41" t="s">
        <v>29</v>
      </c>
      <c r="F74" s="71">
        <f>+F32</f>
        <v>1597.6803200000002</v>
      </c>
      <c r="G74" s="71">
        <f t="shared" si="3"/>
        <v>15976.803200000002</v>
      </c>
      <c r="H74" s="40"/>
      <c r="I74" s="5"/>
    </row>
    <row r="75" spans="1:84" s="56" customFormat="1" ht="15" x14ac:dyDescent="0.25">
      <c r="B75" s="41"/>
      <c r="C75" s="40"/>
      <c r="D75" s="75"/>
      <c r="E75" s="41"/>
      <c r="F75" s="80"/>
      <c r="G75" s="80"/>
      <c r="H75" s="40"/>
      <c r="I75" s="5"/>
    </row>
    <row r="76" spans="1:84" s="56" customFormat="1" ht="15.6" x14ac:dyDescent="0.3">
      <c r="B76" s="41"/>
      <c r="C76" s="40"/>
      <c r="D76" s="75"/>
      <c r="E76" s="41"/>
      <c r="F76" s="40"/>
      <c r="G76" s="77" t="s">
        <v>26</v>
      </c>
      <c r="H76" s="78">
        <f>SUM(G67:G75)</f>
        <v>311757.81192499999</v>
      </c>
      <c r="I76" s="5"/>
      <c r="J76" s="89"/>
    </row>
    <row r="77" spans="1:84" s="5" customFormat="1" ht="15.6" x14ac:dyDescent="0.3">
      <c r="B77" s="90"/>
      <c r="C77" s="90"/>
      <c r="D77" s="90"/>
      <c r="E77" s="90"/>
      <c r="F77" s="90"/>
      <c r="G77" s="90"/>
      <c r="H77" s="90"/>
      <c r="I77" s="56"/>
      <c r="J77" s="56"/>
      <c r="K77" s="56"/>
      <c r="L77" s="56"/>
      <c r="M77" s="56"/>
      <c r="N77" s="56"/>
    </row>
    <row r="78" spans="1:84" s="40" customFormat="1" ht="55.2" x14ac:dyDescent="0.25">
      <c r="A78" s="56"/>
      <c r="B78" s="91" t="s">
        <v>146</v>
      </c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</row>
    <row r="79" spans="1:84" s="5" customFormat="1" ht="15.6" x14ac:dyDescent="0.3">
      <c r="B79" s="69" t="s">
        <v>7</v>
      </c>
      <c r="C79" s="69" t="s">
        <v>8</v>
      </c>
      <c r="D79" s="69" t="s">
        <v>9</v>
      </c>
      <c r="E79" s="69" t="s">
        <v>10</v>
      </c>
      <c r="F79" s="69" t="s">
        <v>11</v>
      </c>
      <c r="G79" s="69" t="s">
        <v>12</v>
      </c>
      <c r="H79" s="69" t="s">
        <v>13</v>
      </c>
    </row>
    <row r="80" spans="1:84" s="56" customFormat="1" ht="15" x14ac:dyDescent="0.25">
      <c r="B80" s="72">
        <v>4.0999999999999996</v>
      </c>
      <c r="C80" s="82" t="s">
        <v>147</v>
      </c>
      <c r="D80" s="75">
        <v>8</v>
      </c>
      <c r="E80" s="72" t="s">
        <v>15</v>
      </c>
      <c r="F80" s="71">
        <f>+F26</f>
        <v>82020.492560000013</v>
      </c>
      <c r="G80" s="71">
        <f>+F80*D80</f>
        <v>656163.94048000011</v>
      </c>
      <c r="H80" s="40"/>
      <c r="I80" s="5"/>
    </row>
    <row r="81" spans="2:9" s="57" customFormat="1" ht="15" x14ac:dyDescent="0.25">
      <c r="B81" s="92">
        <f>+B80+0.1</f>
        <v>4.1999999999999993</v>
      </c>
      <c r="C81" s="93" t="s">
        <v>107</v>
      </c>
      <c r="D81" s="75">
        <v>22</v>
      </c>
      <c r="E81" s="94" t="s">
        <v>32</v>
      </c>
      <c r="F81" s="71">
        <f>+F68</f>
        <v>5600.33</v>
      </c>
      <c r="G81" s="95">
        <f t="shared" ref="G81:G87" si="5">+F81*D81</f>
        <v>123207.26</v>
      </c>
      <c r="H81" s="96"/>
    </row>
    <row r="82" spans="2:9" s="56" customFormat="1" ht="15" x14ac:dyDescent="0.25">
      <c r="B82" s="41">
        <f t="shared" ref="B82:B87" si="6">+B81+0.1</f>
        <v>4.2999999999999989</v>
      </c>
      <c r="C82" s="40" t="s">
        <v>108</v>
      </c>
      <c r="D82" s="75">
        <f>+(54*0.5*1.5)+(7*1.5*1.5*2)</f>
        <v>72</v>
      </c>
      <c r="E82" s="41" t="s">
        <v>34</v>
      </c>
      <c r="F82" s="71">
        <v>1800</v>
      </c>
      <c r="G82" s="71">
        <f t="shared" si="5"/>
        <v>129600</v>
      </c>
      <c r="H82" s="40"/>
      <c r="I82" s="5"/>
    </row>
    <row r="83" spans="2:9" s="56" customFormat="1" ht="15" x14ac:dyDescent="0.25">
      <c r="B83" s="41">
        <f t="shared" si="6"/>
        <v>4.3999999999999986</v>
      </c>
      <c r="C83" s="40" t="s">
        <v>109</v>
      </c>
      <c r="D83" s="75">
        <f>+D81*0.7*0.1</f>
        <v>1.54</v>
      </c>
      <c r="E83" s="41" t="s">
        <v>34</v>
      </c>
      <c r="F83" s="71">
        <f>+F29</f>
        <v>2274.3200000000002</v>
      </c>
      <c r="G83" s="71">
        <f t="shared" si="5"/>
        <v>3502.4528000000005</v>
      </c>
      <c r="H83" s="40"/>
      <c r="I83" s="5"/>
    </row>
    <row r="84" spans="2:9" s="56" customFormat="1" ht="15" x14ac:dyDescent="0.25">
      <c r="B84" s="41">
        <f t="shared" si="6"/>
        <v>4.4999999999999982</v>
      </c>
      <c r="C84" s="40" t="s">
        <v>39</v>
      </c>
      <c r="D84" s="75">
        <f>+D82*1.3</f>
        <v>93.600000000000009</v>
      </c>
      <c r="E84" s="41" t="s">
        <v>34</v>
      </c>
      <c r="F84" s="71">
        <f>+F34</f>
        <v>150</v>
      </c>
      <c r="G84" s="71">
        <f t="shared" si="5"/>
        <v>14040.000000000002</v>
      </c>
      <c r="H84" s="40"/>
      <c r="I84" s="5"/>
    </row>
    <row r="85" spans="2:9" s="56" customFormat="1" ht="15" x14ac:dyDescent="0.25">
      <c r="B85" s="41">
        <f t="shared" si="6"/>
        <v>4.5999999999999979</v>
      </c>
      <c r="C85" s="40" t="s">
        <v>112</v>
      </c>
      <c r="D85" s="75">
        <f>+D82*1.17</f>
        <v>84.24</v>
      </c>
      <c r="E85" s="41" t="s">
        <v>34</v>
      </c>
      <c r="F85" s="71">
        <f>+F35</f>
        <v>1834.73</v>
      </c>
      <c r="G85" s="71">
        <f t="shared" si="5"/>
        <v>154557.65519999998</v>
      </c>
      <c r="H85" s="40"/>
      <c r="I85" s="5"/>
    </row>
    <row r="86" spans="2:9" s="56" customFormat="1" ht="15" x14ac:dyDescent="0.25">
      <c r="B86" s="41">
        <f t="shared" si="6"/>
        <v>4.6999999999999975</v>
      </c>
      <c r="C86" s="40" t="s">
        <v>55</v>
      </c>
      <c r="D86" s="75">
        <v>100</v>
      </c>
      <c r="E86" s="41" t="s">
        <v>32</v>
      </c>
      <c r="F86" s="71">
        <f>+F31</f>
        <v>1443.193884</v>
      </c>
      <c r="G86" s="71">
        <f t="shared" si="5"/>
        <v>144319.3884</v>
      </c>
      <c r="H86" s="40"/>
      <c r="I86" s="5"/>
    </row>
    <row r="87" spans="2:9" s="56" customFormat="1" ht="15" x14ac:dyDescent="0.25">
      <c r="B87" s="41">
        <f t="shared" si="6"/>
        <v>4.7999999999999972</v>
      </c>
      <c r="C87" s="40" t="s">
        <v>56</v>
      </c>
      <c r="D87" s="75">
        <v>45</v>
      </c>
      <c r="E87" s="41" t="s">
        <v>29</v>
      </c>
      <c r="F87" s="71">
        <f>+F32</f>
        <v>1597.6803200000002</v>
      </c>
      <c r="G87" s="71">
        <f t="shared" si="5"/>
        <v>71895.614400000006</v>
      </c>
      <c r="H87" s="40"/>
      <c r="I87" s="5"/>
    </row>
    <row r="88" spans="2:9" s="56" customFormat="1" ht="15" x14ac:dyDescent="0.25">
      <c r="B88" s="41"/>
      <c r="C88" s="40"/>
      <c r="D88" s="75"/>
      <c r="E88" s="41"/>
      <c r="F88" s="80"/>
      <c r="G88" s="80"/>
      <c r="H88" s="40"/>
      <c r="I88" s="5"/>
    </row>
    <row r="89" spans="2:9" s="56" customFormat="1" ht="15.6" x14ac:dyDescent="0.3">
      <c r="B89" s="41"/>
      <c r="C89" s="40"/>
      <c r="D89" s="75"/>
      <c r="E89" s="41"/>
      <c r="F89" s="80"/>
      <c r="G89" s="77" t="s">
        <v>26</v>
      </c>
      <c r="H89" s="97">
        <f>SUM(G80:G87)</f>
        <v>1297286.3112800003</v>
      </c>
      <c r="I89" s="5"/>
    </row>
    <row r="90" spans="2:9" s="56" customFormat="1" ht="33.6" customHeight="1" x14ac:dyDescent="0.25">
      <c r="B90" s="79" t="s">
        <v>148</v>
      </c>
      <c r="C90" s="40"/>
      <c r="D90" s="75"/>
      <c r="E90" s="41"/>
      <c r="F90" s="80"/>
      <c r="G90" s="80"/>
      <c r="H90" s="40"/>
      <c r="I90" s="5"/>
    </row>
    <row r="91" spans="2:9" s="5" customFormat="1" ht="15.6" x14ac:dyDescent="0.3">
      <c r="B91" s="69" t="s">
        <v>7</v>
      </c>
      <c r="C91" s="69" t="s">
        <v>8</v>
      </c>
      <c r="D91" s="69" t="s">
        <v>9</v>
      </c>
      <c r="E91" s="69" t="s">
        <v>10</v>
      </c>
      <c r="F91" s="69" t="s">
        <v>11</v>
      </c>
      <c r="G91" s="69" t="s">
        <v>12</v>
      </c>
      <c r="H91" s="69" t="s">
        <v>13</v>
      </c>
    </row>
    <row r="92" spans="2:9" s="56" customFormat="1" ht="15" x14ac:dyDescent="0.25">
      <c r="B92" s="41">
        <v>5.0999999999999996</v>
      </c>
      <c r="C92" s="98" t="s">
        <v>149</v>
      </c>
      <c r="D92" s="75">
        <v>2</v>
      </c>
      <c r="E92" s="41" t="s">
        <v>15</v>
      </c>
      <c r="F92" s="71">
        <f t="shared" ref="F92:F99" si="7">+F80</f>
        <v>82020.492560000013</v>
      </c>
      <c r="G92" s="71">
        <f t="shared" ref="G92:G106" si="8">+F92*D92</f>
        <v>164040.98512000003</v>
      </c>
      <c r="H92" s="40"/>
      <c r="I92" s="5"/>
    </row>
    <row r="93" spans="2:9" s="58" customFormat="1" ht="15" x14ac:dyDescent="0.25">
      <c r="B93" s="99">
        <f t="shared" ref="B93:B100" si="9">+B92+0.1</f>
        <v>5.1999999999999993</v>
      </c>
      <c r="C93" s="93" t="s">
        <v>107</v>
      </c>
      <c r="D93" s="100">
        <v>30</v>
      </c>
      <c r="E93" s="94" t="s">
        <v>139</v>
      </c>
      <c r="F93" s="71">
        <f t="shared" si="7"/>
        <v>5600.33</v>
      </c>
      <c r="G93" s="95">
        <f t="shared" si="8"/>
        <v>168009.9</v>
      </c>
      <c r="H93" s="93"/>
      <c r="I93" s="57"/>
    </row>
    <row r="94" spans="2:9" s="56" customFormat="1" ht="15" x14ac:dyDescent="0.25">
      <c r="B94" s="101">
        <f t="shared" si="9"/>
        <v>5.2999999999999989</v>
      </c>
      <c r="C94" s="40" t="s">
        <v>108</v>
      </c>
      <c r="D94" s="75">
        <v>48.75</v>
      </c>
      <c r="E94" s="41" t="s">
        <v>150</v>
      </c>
      <c r="F94" s="71">
        <f t="shared" si="7"/>
        <v>1800</v>
      </c>
      <c r="G94" s="71">
        <f t="shared" si="8"/>
        <v>87750</v>
      </c>
      <c r="H94" s="40"/>
      <c r="I94" s="5"/>
    </row>
    <row r="95" spans="2:9" s="56" customFormat="1" ht="15" x14ac:dyDescent="0.25">
      <c r="B95" s="101">
        <f t="shared" si="9"/>
        <v>5.3999999999999986</v>
      </c>
      <c r="C95" s="40" t="s">
        <v>109</v>
      </c>
      <c r="D95" s="75">
        <f>+D93*0.6*0.1</f>
        <v>1.8</v>
      </c>
      <c r="E95" s="41" t="s">
        <v>150</v>
      </c>
      <c r="F95" s="71">
        <f t="shared" si="7"/>
        <v>2274.3200000000002</v>
      </c>
      <c r="G95" s="71">
        <f t="shared" si="8"/>
        <v>4093.7760000000003</v>
      </c>
      <c r="H95" s="40"/>
      <c r="I95" s="5"/>
    </row>
    <row r="96" spans="2:9" s="56" customFormat="1" ht="15" x14ac:dyDescent="0.25">
      <c r="B96" s="101">
        <f t="shared" si="9"/>
        <v>5.4999999999999982</v>
      </c>
      <c r="C96" s="40" t="s">
        <v>151</v>
      </c>
      <c r="D96" s="75">
        <f>+D94*1.3</f>
        <v>63.375</v>
      </c>
      <c r="E96" s="41" t="s">
        <v>34</v>
      </c>
      <c r="F96" s="71">
        <f t="shared" si="7"/>
        <v>150</v>
      </c>
      <c r="G96" s="71">
        <f t="shared" si="8"/>
        <v>9506.25</v>
      </c>
      <c r="H96" s="40"/>
      <c r="I96" s="5"/>
    </row>
    <row r="97" spans="2:9" s="56" customFormat="1" ht="15.6" x14ac:dyDescent="0.3">
      <c r="B97" s="101">
        <f t="shared" si="9"/>
        <v>5.5999999999999979</v>
      </c>
      <c r="C97" s="40" t="s">
        <v>152</v>
      </c>
      <c r="D97" s="75">
        <v>295.42</v>
      </c>
      <c r="E97" s="41" t="s">
        <v>34</v>
      </c>
      <c r="F97" s="71">
        <f t="shared" si="7"/>
        <v>1834.73</v>
      </c>
      <c r="G97" s="71">
        <f t="shared" si="8"/>
        <v>542015.93660000002</v>
      </c>
      <c r="H97" s="102"/>
      <c r="I97" s="5"/>
    </row>
    <row r="98" spans="2:9" s="56" customFormat="1" ht="15.6" x14ac:dyDescent="0.3">
      <c r="B98" s="101">
        <f t="shared" si="9"/>
        <v>5.6999999999999975</v>
      </c>
      <c r="C98" s="40" t="s">
        <v>55</v>
      </c>
      <c r="D98" s="75">
        <v>250</v>
      </c>
      <c r="E98" s="41" t="s">
        <v>32</v>
      </c>
      <c r="F98" s="71">
        <f t="shared" si="7"/>
        <v>1443.193884</v>
      </c>
      <c r="G98" s="71">
        <f t="shared" si="8"/>
        <v>360798.47100000002</v>
      </c>
      <c r="H98" s="102"/>
      <c r="I98" s="5"/>
    </row>
    <row r="99" spans="2:9" s="56" customFormat="1" ht="15.6" x14ac:dyDescent="0.3">
      <c r="B99" s="101">
        <f t="shared" si="9"/>
        <v>5.7999999999999972</v>
      </c>
      <c r="C99" s="40" t="s">
        <v>56</v>
      </c>
      <c r="D99" s="75">
        <v>150</v>
      </c>
      <c r="E99" s="41" t="s">
        <v>29</v>
      </c>
      <c r="F99" s="71">
        <f t="shared" si="7"/>
        <v>1597.6803200000002</v>
      </c>
      <c r="G99" s="71">
        <f t="shared" si="8"/>
        <v>239652.04800000004</v>
      </c>
      <c r="H99" s="102"/>
      <c r="I99" s="5"/>
    </row>
    <row r="100" spans="2:9" s="56" customFormat="1" ht="15.6" x14ac:dyDescent="0.3">
      <c r="B100" s="101">
        <f t="shared" si="9"/>
        <v>5.8999999999999968</v>
      </c>
      <c r="C100" s="40" t="s">
        <v>153</v>
      </c>
      <c r="D100" s="75">
        <v>40</v>
      </c>
      <c r="E100" s="41" t="s">
        <v>154</v>
      </c>
      <c r="F100" s="71">
        <v>5900</v>
      </c>
      <c r="G100" s="71">
        <f t="shared" si="8"/>
        <v>236000</v>
      </c>
      <c r="H100" s="102"/>
      <c r="I100" s="5"/>
    </row>
    <row r="101" spans="2:9" s="56" customFormat="1" ht="15.6" x14ac:dyDescent="0.3">
      <c r="B101" s="43">
        <v>5.0999999999999996</v>
      </c>
      <c r="C101" s="40" t="s">
        <v>155</v>
      </c>
      <c r="D101" s="100">
        <v>230.15</v>
      </c>
      <c r="E101" s="41" t="s">
        <v>34</v>
      </c>
      <c r="F101" s="71">
        <f>+F97</f>
        <v>1834.73</v>
      </c>
      <c r="G101" s="71">
        <f t="shared" si="8"/>
        <v>422263.10950000002</v>
      </c>
      <c r="H101" s="102"/>
      <c r="I101" s="5"/>
    </row>
    <row r="102" spans="2:9" s="56" customFormat="1" ht="15.6" x14ac:dyDescent="0.3">
      <c r="B102" s="43">
        <v>5.2</v>
      </c>
      <c r="C102" s="40" t="s">
        <v>156</v>
      </c>
      <c r="D102" s="75">
        <f>+(104*0.3*0.15)</f>
        <v>4.68</v>
      </c>
      <c r="E102" s="41" t="s">
        <v>34</v>
      </c>
      <c r="F102" s="71">
        <v>2500</v>
      </c>
      <c r="G102" s="71">
        <f t="shared" si="8"/>
        <v>11700</v>
      </c>
      <c r="H102" s="102"/>
      <c r="I102" s="5"/>
    </row>
    <row r="103" spans="2:9" s="56" customFormat="1" ht="15.6" x14ac:dyDescent="0.3">
      <c r="B103" s="43">
        <v>5.3</v>
      </c>
      <c r="C103" s="40" t="s">
        <v>157</v>
      </c>
      <c r="D103" s="75">
        <f>+(52*1.5*0.2)</f>
        <v>15.600000000000001</v>
      </c>
      <c r="E103" s="41" t="s">
        <v>34</v>
      </c>
      <c r="F103" s="71">
        <v>30359.986155999999</v>
      </c>
      <c r="G103" s="71">
        <f t="shared" si="8"/>
        <v>473615.78403360001</v>
      </c>
      <c r="H103" s="102"/>
      <c r="I103" s="5"/>
    </row>
    <row r="104" spans="2:9" s="58" customFormat="1" ht="15" x14ac:dyDescent="0.25">
      <c r="B104" s="43">
        <v>5.4</v>
      </c>
      <c r="C104" s="93" t="s">
        <v>158</v>
      </c>
      <c r="D104" s="100">
        <v>0</v>
      </c>
      <c r="E104" s="94" t="s">
        <v>32</v>
      </c>
      <c r="F104" s="95">
        <v>0</v>
      </c>
      <c r="G104" s="95">
        <f t="shared" si="8"/>
        <v>0</v>
      </c>
      <c r="H104" s="93"/>
      <c r="I104" s="57"/>
    </row>
    <row r="105" spans="2:9" s="56" customFormat="1" ht="15.6" x14ac:dyDescent="0.3">
      <c r="B105" s="43">
        <v>5.5</v>
      </c>
      <c r="C105" s="40" t="s">
        <v>159</v>
      </c>
      <c r="D105" s="75">
        <v>30</v>
      </c>
      <c r="E105" s="41" t="s">
        <v>154</v>
      </c>
      <c r="F105" s="71">
        <v>2850</v>
      </c>
      <c r="G105" s="71">
        <f t="shared" si="8"/>
        <v>85500</v>
      </c>
      <c r="H105" s="102"/>
      <c r="I105" s="5"/>
    </row>
    <row r="106" spans="2:9" s="56" customFormat="1" ht="15.6" x14ac:dyDescent="0.3">
      <c r="B106" s="43">
        <v>5.6</v>
      </c>
      <c r="C106" s="40" t="s">
        <v>160</v>
      </c>
      <c r="D106" s="75">
        <v>374.999999</v>
      </c>
      <c r="E106" s="41" t="s">
        <v>34</v>
      </c>
      <c r="F106" s="71">
        <f>+F84</f>
        <v>150</v>
      </c>
      <c r="G106" s="71">
        <f t="shared" si="8"/>
        <v>56249.99985</v>
      </c>
      <c r="H106" s="102"/>
      <c r="I106" s="5"/>
    </row>
    <row r="107" spans="2:9" s="56" customFormat="1" ht="15.6" x14ac:dyDescent="0.3">
      <c r="B107" s="41"/>
      <c r="C107" s="40"/>
      <c r="D107" s="75"/>
      <c r="E107" s="41"/>
      <c r="F107" s="80"/>
      <c r="G107" s="103"/>
      <c r="H107" s="102"/>
      <c r="I107" s="5"/>
    </row>
    <row r="108" spans="2:9" s="56" customFormat="1" ht="15.6" x14ac:dyDescent="0.3">
      <c r="B108" s="41"/>
      <c r="C108" s="40"/>
      <c r="D108" s="75"/>
      <c r="E108" s="41"/>
      <c r="F108" s="80"/>
      <c r="G108" s="77" t="s">
        <v>26</v>
      </c>
      <c r="H108" s="97">
        <f>SUM(G92:G106)</f>
        <v>2861196.2601035996</v>
      </c>
      <c r="I108" s="5"/>
    </row>
    <row r="109" spans="2:9" s="56" customFormat="1" ht="36.6" customHeight="1" x14ac:dyDescent="0.3">
      <c r="B109" s="104" t="s">
        <v>161</v>
      </c>
      <c r="C109" s="40"/>
      <c r="D109" s="75"/>
      <c r="E109" s="41"/>
      <c r="F109" s="80"/>
      <c r="G109" s="103"/>
      <c r="H109" s="102"/>
      <c r="I109" s="5"/>
    </row>
    <row r="110" spans="2:9" s="5" customFormat="1" ht="15.6" x14ac:dyDescent="0.3">
      <c r="B110" s="69" t="s">
        <v>7</v>
      </c>
      <c r="C110" s="69" t="s">
        <v>8</v>
      </c>
      <c r="D110" s="69" t="s">
        <v>9</v>
      </c>
      <c r="E110" s="69" t="s">
        <v>10</v>
      </c>
      <c r="F110" s="69" t="s">
        <v>11</v>
      </c>
      <c r="G110" s="69" t="s">
        <v>12</v>
      </c>
      <c r="H110" s="69" t="s">
        <v>13</v>
      </c>
    </row>
    <row r="111" spans="2:9" s="56" customFormat="1" ht="15" x14ac:dyDescent="0.25">
      <c r="B111" s="41">
        <v>6.1</v>
      </c>
      <c r="C111" s="40" t="s">
        <v>76</v>
      </c>
      <c r="D111" s="75">
        <v>1</v>
      </c>
      <c r="E111" s="41" t="s">
        <v>54</v>
      </c>
      <c r="F111" s="71">
        <v>100000</v>
      </c>
      <c r="G111" s="71">
        <f>+F111*D111</f>
        <v>100000</v>
      </c>
      <c r="H111" s="40"/>
      <c r="I111" s="5"/>
    </row>
    <row r="112" spans="2:9" s="56" customFormat="1" ht="15" x14ac:dyDescent="0.25">
      <c r="B112" s="41">
        <f>+B111+0.1</f>
        <v>6.1999999999999993</v>
      </c>
      <c r="C112" s="40" t="s">
        <v>77</v>
      </c>
      <c r="D112" s="75">
        <v>1</v>
      </c>
      <c r="E112" s="41" t="s">
        <v>54</v>
      </c>
      <c r="F112" s="71">
        <v>75000</v>
      </c>
      <c r="G112" s="71">
        <f>+F112*D112</f>
        <v>75000</v>
      </c>
      <c r="H112" s="40"/>
      <c r="I112" s="5"/>
    </row>
    <row r="113" spans="2:9" s="56" customFormat="1" ht="15" x14ac:dyDescent="0.25">
      <c r="B113" s="41">
        <f>+B112+0.1</f>
        <v>6.2999999999999989</v>
      </c>
      <c r="C113" s="40" t="s">
        <v>162</v>
      </c>
      <c r="D113" s="75">
        <v>10</v>
      </c>
      <c r="E113" s="41" t="s">
        <v>17</v>
      </c>
      <c r="F113" s="71">
        <v>2890</v>
      </c>
      <c r="G113" s="71">
        <f>+F113*D113</f>
        <v>28900</v>
      </c>
      <c r="H113" s="40"/>
      <c r="I113" s="5"/>
    </row>
    <row r="114" spans="2:9" s="56" customFormat="1" ht="15" x14ac:dyDescent="0.25">
      <c r="B114" s="41"/>
      <c r="C114" s="40"/>
      <c r="D114" s="75"/>
      <c r="E114" s="41"/>
      <c r="F114" s="80"/>
      <c r="G114" s="80"/>
      <c r="H114" s="40"/>
      <c r="I114" s="5"/>
    </row>
    <row r="115" spans="2:9" s="56" customFormat="1" ht="15.6" x14ac:dyDescent="0.3">
      <c r="B115" s="41"/>
      <c r="C115" s="40"/>
      <c r="D115" s="75"/>
      <c r="E115" s="41"/>
      <c r="F115" s="80"/>
      <c r="G115" s="77" t="s">
        <v>26</v>
      </c>
      <c r="H115" s="97">
        <f>SUM(G110:G114)</f>
        <v>203900</v>
      </c>
      <c r="I115" s="5"/>
    </row>
    <row r="116" spans="2:9" s="56" customFormat="1" ht="15" x14ac:dyDescent="0.25">
      <c r="B116" s="41"/>
      <c r="C116" s="40"/>
      <c r="D116" s="75"/>
      <c r="E116" s="41"/>
      <c r="F116" s="80"/>
      <c r="G116" s="41"/>
      <c r="H116" s="41"/>
      <c r="I116" s="5"/>
    </row>
    <row r="117" spans="2:9" s="56" customFormat="1" ht="15" x14ac:dyDescent="0.25">
      <c r="B117" s="41"/>
      <c r="C117" s="40"/>
      <c r="D117" s="75"/>
      <c r="E117" s="41"/>
      <c r="F117" s="80"/>
      <c r="G117" s="41"/>
      <c r="H117" s="41"/>
      <c r="I117" s="5"/>
    </row>
    <row r="118" spans="2:9" s="56" customFormat="1" ht="15.6" x14ac:dyDescent="0.3">
      <c r="B118" s="41"/>
      <c r="C118" s="40"/>
      <c r="D118" s="75"/>
      <c r="E118" s="41"/>
      <c r="F118" s="171" t="s">
        <v>79</v>
      </c>
      <c r="G118" s="172"/>
      <c r="H118" s="105">
        <f>+H115+H108+H89+H76+H63+H45+H37+H22</f>
        <v>10083332.153940901</v>
      </c>
      <c r="I118" s="5"/>
    </row>
    <row r="119" spans="2:9" s="56" customFormat="1" ht="19.8" customHeight="1" x14ac:dyDescent="0.3">
      <c r="B119" s="106" t="s">
        <v>80</v>
      </c>
      <c r="C119" s="107"/>
      <c r="D119" s="75"/>
      <c r="E119" s="41"/>
      <c r="F119" s="80"/>
      <c r="G119" s="80"/>
      <c r="H119" s="40"/>
      <c r="I119" s="5"/>
    </row>
    <row r="120" spans="2:9" s="5" customFormat="1" ht="15.6" x14ac:dyDescent="0.3">
      <c r="B120" s="69" t="s">
        <v>7</v>
      </c>
      <c r="C120" s="69" t="s">
        <v>8</v>
      </c>
      <c r="D120" s="69" t="s">
        <v>9</v>
      </c>
      <c r="E120" s="69" t="s">
        <v>10</v>
      </c>
      <c r="F120" s="69" t="s">
        <v>11</v>
      </c>
      <c r="G120" s="69" t="s">
        <v>12</v>
      </c>
      <c r="H120" s="69" t="s">
        <v>13</v>
      </c>
    </row>
    <row r="121" spans="2:9" s="56" customFormat="1" ht="15.6" x14ac:dyDescent="0.25">
      <c r="B121" s="41">
        <v>7.1</v>
      </c>
      <c r="C121" s="108" t="s">
        <v>81</v>
      </c>
      <c r="D121" s="109">
        <v>4.4999999999999998E-2</v>
      </c>
      <c r="E121" s="41" t="s">
        <v>82</v>
      </c>
      <c r="F121" s="80">
        <f>+H118</f>
        <v>10083332.153940901</v>
      </c>
      <c r="G121" s="80">
        <f>+F121*D121</f>
        <v>453749.94692734053</v>
      </c>
      <c r="H121" s="110"/>
      <c r="I121" s="5"/>
    </row>
    <row r="122" spans="2:9" s="56" customFormat="1" ht="15.6" x14ac:dyDescent="0.25">
      <c r="B122" s="41">
        <f>+B121+0.1</f>
        <v>7.1999999999999993</v>
      </c>
      <c r="C122" s="108" t="s">
        <v>83</v>
      </c>
      <c r="D122" s="109">
        <v>2.9999999900000001E-2</v>
      </c>
      <c r="E122" s="41" t="s">
        <v>82</v>
      </c>
      <c r="F122" s="80">
        <f>+F121</f>
        <v>10083332.153940901</v>
      </c>
      <c r="G122" s="80">
        <f t="shared" ref="G122:G129" si="10">+F122*D122</f>
        <v>302499.96360989381</v>
      </c>
      <c r="H122" s="110"/>
      <c r="I122" s="5"/>
    </row>
    <row r="123" spans="2:9" s="56" customFormat="1" ht="15.6" x14ac:dyDescent="0.25">
      <c r="B123" s="41">
        <f t="shared" ref="B123:B129" si="11">+B122+0.1</f>
        <v>7.2999999999999989</v>
      </c>
      <c r="C123" s="108" t="s">
        <v>84</v>
      </c>
      <c r="D123" s="109">
        <v>0.02</v>
      </c>
      <c r="E123" s="41" t="s">
        <v>82</v>
      </c>
      <c r="F123" s="80">
        <f>+F122</f>
        <v>10083332.153940901</v>
      </c>
      <c r="G123" s="80">
        <f t="shared" si="10"/>
        <v>201666.64307881802</v>
      </c>
      <c r="H123" s="110"/>
      <c r="I123" s="5"/>
    </row>
    <row r="124" spans="2:9" s="56" customFormat="1" ht="15.6" x14ac:dyDescent="0.25">
      <c r="B124" s="41">
        <f t="shared" si="11"/>
        <v>7.3999999999999986</v>
      </c>
      <c r="C124" s="108" t="s">
        <v>85</v>
      </c>
      <c r="D124" s="109">
        <v>0.1</v>
      </c>
      <c r="E124" s="41" t="s">
        <v>82</v>
      </c>
      <c r="F124" s="80">
        <f>+H118</f>
        <v>10083332.153940901</v>
      </c>
      <c r="G124" s="80">
        <f t="shared" si="10"/>
        <v>1008333.2153940902</v>
      </c>
      <c r="H124" s="110"/>
      <c r="I124" s="5"/>
    </row>
    <row r="125" spans="2:9" s="56" customFormat="1" ht="15.6" x14ac:dyDescent="0.25">
      <c r="B125" s="41">
        <f t="shared" si="11"/>
        <v>7.4999999999999982</v>
      </c>
      <c r="C125" s="108" t="s">
        <v>86</v>
      </c>
      <c r="D125" s="109">
        <v>0</v>
      </c>
      <c r="E125" s="41" t="s">
        <v>82</v>
      </c>
      <c r="F125" s="80">
        <f>+H118</f>
        <v>10083332.153940901</v>
      </c>
      <c r="G125" s="80">
        <f t="shared" si="10"/>
        <v>0</v>
      </c>
      <c r="H125" s="110"/>
      <c r="I125" s="5"/>
    </row>
    <row r="126" spans="2:9" s="56" customFormat="1" ht="15.6" x14ac:dyDescent="0.25">
      <c r="B126" s="41">
        <f t="shared" si="11"/>
        <v>7.5999999999999979</v>
      </c>
      <c r="C126" s="108" t="s">
        <v>87</v>
      </c>
      <c r="D126" s="109">
        <v>0.01</v>
      </c>
      <c r="E126" s="41" t="s">
        <v>82</v>
      </c>
      <c r="F126" s="80">
        <f>+H118</f>
        <v>10083332.153940901</v>
      </c>
      <c r="G126" s="80">
        <f t="shared" si="10"/>
        <v>100833.32153940901</v>
      </c>
      <c r="H126" s="110"/>
      <c r="I126" s="5"/>
    </row>
    <row r="127" spans="2:9" s="56" customFormat="1" ht="15.6" x14ac:dyDescent="0.25">
      <c r="B127" s="41">
        <f t="shared" si="11"/>
        <v>7.6999999999999975</v>
      </c>
      <c r="C127" s="108" t="s">
        <v>88</v>
      </c>
      <c r="D127" s="109">
        <v>0.01</v>
      </c>
      <c r="E127" s="41" t="s">
        <v>82</v>
      </c>
      <c r="F127" s="80">
        <f>+H118</f>
        <v>10083332.153940901</v>
      </c>
      <c r="G127" s="80">
        <f t="shared" si="10"/>
        <v>100833.32153940901</v>
      </c>
      <c r="H127" s="110"/>
      <c r="I127" s="5"/>
    </row>
    <row r="128" spans="2:9" s="56" customFormat="1" ht="15.6" x14ac:dyDescent="0.25">
      <c r="B128" s="41">
        <f t="shared" si="11"/>
        <v>7.7999999999999972</v>
      </c>
      <c r="C128" s="108" t="s">
        <v>89</v>
      </c>
      <c r="D128" s="111">
        <v>0</v>
      </c>
      <c r="E128" s="41" t="s">
        <v>82</v>
      </c>
      <c r="F128" s="80">
        <f>+H118</f>
        <v>10083332.153940901</v>
      </c>
      <c r="G128" s="80">
        <f t="shared" si="10"/>
        <v>0</v>
      </c>
      <c r="H128" s="110"/>
      <c r="I128" s="5"/>
    </row>
    <row r="129" spans="2:11" s="56" customFormat="1" ht="15.6" x14ac:dyDescent="0.25">
      <c r="B129" s="41">
        <f t="shared" si="11"/>
        <v>7.8999999999999968</v>
      </c>
      <c r="C129" s="108" t="s">
        <v>90</v>
      </c>
      <c r="D129" s="112">
        <v>0.17999999999999899</v>
      </c>
      <c r="E129" s="41" t="s">
        <v>82</v>
      </c>
      <c r="F129" s="80">
        <f>G124</f>
        <v>1008333.2153940902</v>
      </c>
      <c r="G129" s="80">
        <f t="shared" si="10"/>
        <v>181499.97877093521</v>
      </c>
      <c r="H129" s="110"/>
      <c r="I129" s="5"/>
    </row>
    <row r="130" spans="2:11" s="56" customFormat="1" ht="15" x14ac:dyDescent="0.25">
      <c r="B130" s="41"/>
      <c r="C130" s="40"/>
      <c r="D130" s="75"/>
      <c r="E130" s="41"/>
      <c r="F130" s="80"/>
      <c r="G130" s="80"/>
      <c r="H130" s="40"/>
      <c r="I130" s="5"/>
    </row>
    <row r="131" spans="2:11" s="56" customFormat="1" ht="15.6" x14ac:dyDescent="0.3">
      <c r="B131" s="41"/>
      <c r="C131" s="40"/>
      <c r="D131" s="75"/>
      <c r="E131" s="41"/>
      <c r="F131" s="171" t="s">
        <v>91</v>
      </c>
      <c r="G131" s="172"/>
      <c r="H131" s="105">
        <f>SUM(G121:G129)</f>
        <v>2349416.3908598954</v>
      </c>
      <c r="I131" s="5"/>
    </row>
    <row r="132" spans="2:11" s="56" customFormat="1" ht="15" x14ac:dyDescent="0.25">
      <c r="B132" s="41"/>
      <c r="C132" s="40"/>
      <c r="D132" s="75"/>
      <c r="E132" s="41"/>
      <c r="F132" s="80"/>
      <c r="G132" s="80"/>
      <c r="H132" s="40"/>
      <c r="I132" s="5"/>
    </row>
    <row r="133" spans="2:11" s="56" customFormat="1" ht="15.6" x14ac:dyDescent="0.3">
      <c r="B133" s="41"/>
      <c r="C133" s="40"/>
      <c r="D133" s="75"/>
      <c r="E133" s="41"/>
      <c r="F133" s="171" t="s">
        <v>92</v>
      </c>
      <c r="G133" s="172"/>
      <c r="H133" s="105">
        <f>+H118+H131</f>
        <v>12432748.544800796</v>
      </c>
      <c r="I133" s="5"/>
    </row>
    <row r="134" spans="2:11" s="5" customFormat="1" ht="15" x14ac:dyDescent="0.25">
      <c r="B134" s="44"/>
      <c r="D134" s="45"/>
      <c r="K134" s="46"/>
    </row>
    <row r="135" spans="2:11" s="5" customFormat="1" ht="15" x14ac:dyDescent="0.25">
      <c r="B135" s="44"/>
      <c r="D135" s="113"/>
      <c r="G135" s="114"/>
      <c r="H135" s="115"/>
      <c r="K135" s="46"/>
    </row>
    <row r="136" spans="2:11" s="5" customFormat="1" ht="15" x14ac:dyDescent="0.25">
      <c r="B136" s="44"/>
      <c r="D136" s="113"/>
      <c r="F136" s="116"/>
      <c r="G136" s="114"/>
      <c r="H136" s="115"/>
      <c r="K136" s="46"/>
    </row>
    <row r="137" spans="2:11" s="5" customFormat="1" ht="15" x14ac:dyDescent="0.25">
      <c r="B137" s="44"/>
      <c r="D137" s="113"/>
      <c r="G137" s="114"/>
      <c r="H137" s="117"/>
      <c r="K137" s="46"/>
    </row>
    <row r="138" spans="2:11" s="5" customFormat="1" ht="15.6" x14ac:dyDescent="0.3">
      <c r="B138" s="44"/>
      <c r="C138" s="47" t="s">
        <v>163</v>
      </c>
      <c r="D138" s="118"/>
      <c r="F138" s="189" t="s">
        <v>164</v>
      </c>
      <c r="G138" s="189"/>
      <c r="H138" s="189"/>
      <c r="K138" s="46"/>
    </row>
    <row r="139" spans="2:11" s="5" customFormat="1" ht="15.6" x14ac:dyDescent="0.25">
      <c r="B139" s="44"/>
      <c r="C139" s="47" t="s">
        <v>165</v>
      </c>
      <c r="D139" s="45"/>
      <c r="F139" s="190" t="s">
        <v>166</v>
      </c>
      <c r="G139" s="190"/>
      <c r="H139" s="190"/>
      <c r="K139" s="46"/>
    </row>
    <row r="140" spans="2:11" s="5" customFormat="1" ht="15.6" x14ac:dyDescent="0.25">
      <c r="B140" s="44"/>
      <c r="C140" s="47"/>
      <c r="D140" s="45"/>
      <c r="F140" s="119"/>
      <c r="G140" s="119"/>
      <c r="H140" s="119"/>
      <c r="K140" s="46"/>
    </row>
    <row r="141" spans="2:11" s="5" customFormat="1" ht="15" x14ac:dyDescent="0.25">
      <c r="B141" s="44"/>
      <c r="D141" s="45"/>
      <c r="G141" s="117"/>
      <c r="H141" s="114"/>
      <c r="K141" s="46"/>
    </row>
    <row r="142" spans="2:11" s="5" customFormat="1" ht="15.6" x14ac:dyDescent="0.3">
      <c r="B142" s="120" t="s">
        <v>167</v>
      </c>
      <c r="C142" s="188" t="s">
        <v>168</v>
      </c>
      <c r="D142" s="188"/>
      <c r="E142" s="188"/>
      <c r="F142" s="188"/>
      <c r="G142" s="188"/>
      <c r="H142" s="188"/>
      <c r="K142" s="46"/>
    </row>
    <row r="143" spans="2:11" s="5" customFormat="1" ht="15.6" x14ac:dyDescent="0.3">
      <c r="B143" s="44"/>
      <c r="C143" s="188" t="s">
        <v>169</v>
      </c>
      <c r="D143" s="188"/>
      <c r="E143" s="188"/>
      <c r="F143" s="188"/>
      <c r="G143" s="188"/>
      <c r="H143" s="188"/>
      <c r="K143" s="46"/>
    </row>
    <row r="144" spans="2:11" s="5" customFormat="1" ht="15.6" x14ac:dyDescent="0.3">
      <c r="B144" s="44"/>
      <c r="C144" s="48"/>
      <c r="D144" s="121"/>
      <c r="E144" s="122"/>
      <c r="F144" s="123"/>
      <c r="G144" s="85"/>
      <c r="H144" s="124"/>
      <c r="K144" s="46"/>
    </row>
    <row r="145" spans="5:8" s="6" customFormat="1" ht="15.6" x14ac:dyDescent="0.25">
      <c r="E145" s="49"/>
      <c r="F145" s="50"/>
      <c r="G145" s="50"/>
      <c r="H145" s="125"/>
    </row>
    <row r="146" spans="5:8" s="5" customFormat="1" ht="15" x14ac:dyDescent="0.25">
      <c r="H146" s="126"/>
    </row>
    <row r="147" spans="5:8" s="5" customFormat="1" ht="15" x14ac:dyDescent="0.25">
      <c r="H147" s="126"/>
    </row>
    <row r="148" spans="5:8" s="5" customFormat="1" ht="15" x14ac:dyDescent="0.25">
      <c r="H148" s="126"/>
    </row>
    <row r="149" spans="5:8" s="5" customFormat="1" ht="15" x14ac:dyDescent="0.25">
      <c r="F149" s="117"/>
      <c r="H149" s="126"/>
    </row>
    <row r="150" spans="5:8" s="5" customFormat="1" ht="15" x14ac:dyDescent="0.25">
      <c r="F150" s="117"/>
    </row>
    <row r="151" spans="5:8" s="5" customFormat="1" ht="15" x14ac:dyDescent="0.25">
      <c r="F151" s="117"/>
      <c r="H151" s="127"/>
    </row>
    <row r="152" spans="5:8" s="5" customFormat="1" ht="15" x14ac:dyDescent="0.25">
      <c r="F152" s="117"/>
    </row>
    <row r="153" spans="5:8" s="5" customFormat="1" ht="15" x14ac:dyDescent="0.25">
      <c r="F153" s="117"/>
    </row>
    <row r="154" spans="5:8" s="5" customFormat="1" ht="15" x14ac:dyDescent="0.25">
      <c r="F154" s="117"/>
    </row>
    <row r="155" spans="5:8" s="5" customFormat="1" ht="15" x14ac:dyDescent="0.25">
      <c r="F155" s="117"/>
    </row>
    <row r="156" spans="5:8" s="5" customFormat="1" ht="15" x14ac:dyDescent="0.25">
      <c r="F156" s="117"/>
    </row>
    <row r="157" spans="5:8" x14ac:dyDescent="0.25">
      <c r="F157" s="128"/>
    </row>
    <row r="166" s="7" customFormat="1" ht="10.5" customHeight="1" x14ac:dyDescent="0.25"/>
    <row r="167" s="7" customFormat="1" ht="16.5" customHeight="1" x14ac:dyDescent="0.25"/>
    <row r="168" s="7" customFormat="1" ht="9.75" customHeight="1" x14ac:dyDescent="0.25"/>
    <row r="172" s="7" customFormat="1" ht="12.75" customHeight="1" x14ac:dyDescent="0.25"/>
    <row r="182" ht="12.75" customHeight="1" x14ac:dyDescent="0.25"/>
    <row r="189" ht="13.5" customHeight="1" x14ac:dyDescent="0.25"/>
  </sheetData>
  <mergeCells count="20">
    <mergeCell ref="B1:H1"/>
    <mergeCell ref="B2:H2"/>
    <mergeCell ref="B3:H3"/>
    <mergeCell ref="B4:H4"/>
    <mergeCell ref="B5:H5"/>
    <mergeCell ref="B7:H7"/>
    <mergeCell ref="B9:H9"/>
    <mergeCell ref="B10:H10"/>
    <mergeCell ref="B11:H11"/>
    <mergeCell ref="B12:H12"/>
    <mergeCell ref="C142:H142"/>
    <mergeCell ref="C143:H143"/>
    <mergeCell ref="B13:B15"/>
    <mergeCell ref="C13:E15"/>
    <mergeCell ref="F13:H15"/>
    <mergeCell ref="F118:G118"/>
    <mergeCell ref="F131:G131"/>
    <mergeCell ref="F133:G133"/>
    <mergeCell ref="F138:H138"/>
    <mergeCell ref="F139:H139"/>
  </mergeCells>
  <pageMargins left="0.7" right="0.7" top="0.75" bottom="0.75" header="0.3" footer="0.3"/>
  <pageSetup scale="45" orientation="landscape" horizontalDpi="360" verticalDpi="360"/>
  <rowBreaks count="2" manualBreakCount="2">
    <brk id="47" max="16383" man="1"/>
    <brk id="89" max="16383" man="1"/>
  </rowBreaks>
  <colBreaks count="1" manualBreakCount="1">
    <brk id="8" max="1048575" man="1"/>
  </colBreaks>
  <ignoredErrors>
    <ignoredError sqref="F121:G12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9"/>
  </sheetPr>
  <dimension ref="B2:P163"/>
  <sheetViews>
    <sheetView view="pageBreakPreview" zoomScale="70" zoomScaleNormal="60" zoomScalePageLayoutView="50" workbookViewId="0">
      <selection activeCell="E7" sqref="E7"/>
    </sheetView>
  </sheetViews>
  <sheetFormatPr baseColWidth="10" defaultColWidth="9.109375" defaultRowHeight="13.2" x14ac:dyDescent="0.25"/>
  <cols>
    <col min="1" max="1" width="9.109375" style="7"/>
    <col min="2" max="2" width="80.6640625" style="7" customWidth="1"/>
    <col min="3" max="3" width="26.33203125" style="7" customWidth="1"/>
    <col min="4" max="4" width="14.88671875" style="7" customWidth="1"/>
    <col min="5" max="5" width="16.88671875" style="7"/>
    <col min="6" max="6" width="20.33203125" style="7" customWidth="1"/>
    <col min="7" max="7" width="17.33203125" style="7" customWidth="1"/>
    <col min="8" max="8" width="16.77734375" style="7" customWidth="1"/>
    <col min="9" max="9" width="10.109375" style="7" customWidth="1"/>
    <col min="10" max="10" width="12.6640625" style="7"/>
    <col min="11" max="11" width="15.6640625" style="7" customWidth="1"/>
    <col min="12" max="12" width="11.6640625" style="7"/>
    <col min="13" max="16384" width="9.109375" style="7"/>
  </cols>
  <sheetData>
    <row r="2" spans="2:16" s="1" customFormat="1" x14ac:dyDescent="0.25">
      <c r="E2" s="8"/>
      <c r="F2" s="8"/>
      <c r="G2" s="8"/>
      <c r="H2" s="9"/>
    </row>
    <row r="3" spans="2:16" s="2" customFormat="1" ht="20.399999999999999" x14ac:dyDescent="0.25">
      <c r="B3" s="226"/>
      <c r="C3" s="226"/>
      <c r="D3" s="226"/>
      <c r="E3" s="226"/>
      <c r="F3" s="226"/>
      <c r="G3" s="226"/>
      <c r="H3" s="226"/>
    </row>
    <row r="4" spans="2:16" s="2" customFormat="1" ht="15.6" x14ac:dyDescent="0.25">
      <c r="B4" s="227"/>
      <c r="C4" s="227"/>
      <c r="D4" s="227"/>
      <c r="E4" s="227"/>
      <c r="F4" s="227"/>
      <c r="G4" s="227"/>
      <c r="H4" s="227"/>
    </row>
    <row r="5" spans="2:16" s="2" customFormat="1" ht="15.6" x14ac:dyDescent="0.3">
      <c r="B5" s="228"/>
      <c r="C5" s="228"/>
      <c r="D5" s="228"/>
      <c r="E5" s="228"/>
      <c r="F5" s="228"/>
      <c r="G5" s="228"/>
      <c r="H5" s="228"/>
    </row>
    <row r="6" spans="2:16" s="2" customFormat="1" ht="15.6" x14ac:dyDescent="0.3">
      <c r="B6" s="10"/>
      <c r="C6" s="10"/>
      <c r="D6" s="10"/>
      <c r="E6" s="10"/>
      <c r="F6" s="10"/>
      <c r="G6" s="10"/>
      <c r="H6" s="10"/>
    </row>
    <row r="7" spans="2:16" s="2" customFormat="1" ht="15.6" x14ac:dyDescent="0.3">
      <c r="B7" s="10"/>
      <c r="C7" s="10"/>
      <c r="D7" s="10"/>
      <c r="E7" s="10"/>
      <c r="F7" s="10"/>
      <c r="G7" s="10"/>
      <c r="H7" s="10"/>
    </row>
    <row r="8" spans="2:16" s="2" customFormat="1" ht="15.6" x14ac:dyDescent="0.3">
      <c r="B8" s="10"/>
      <c r="C8" s="10"/>
      <c r="D8" s="10"/>
      <c r="E8" s="10"/>
      <c r="F8" s="10"/>
      <c r="G8" s="10"/>
      <c r="H8" s="10"/>
    </row>
    <row r="9" spans="2:16" s="2" customFormat="1" ht="15.6" x14ac:dyDescent="0.3">
      <c r="B9" s="10"/>
      <c r="C9" s="10"/>
      <c r="D9" s="10"/>
      <c r="E9" s="10"/>
      <c r="F9" s="10"/>
      <c r="G9" s="10"/>
      <c r="H9" s="10"/>
    </row>
    <row r="10" spans="2:16" s="2" customFormat="1" ht="15.6" x14ac:dyDescent="0.3">
      <c r="B10" s="10"/>
      <c r="C10" s="10"/>
      <c r="D10" s="10"/>
      <c r="E10" s="10"/>
      <c r="F10" s="10"/>
      <c r="G10" s="10"/>
      <c r="H10" s="10"/>
    </row>
    <row r="11" spans="2:16" s="2" customFormat="1" ht="17.399999999999999" x14ac:dyDescent="0.3">
      <c r="B11" s="228" t="s">
        <v>0</v>
      </c>
      <c r="C11" s="228"/>
      <c r="D11" s="228"/>
      <c r="E11" s="228"/>
      <c r="F11" s="228"/>
      <c r="G11" s="228"/>
      <c r="H11" s="228"/>
      <c r="I11" s="11"/>
      <c r="J11" s="11"/>
      <c r="K11" s="11"/>
      <c r="L11" s="12"/>
      <c r="M11" s="12"/>
      <c r="N11" s="12"/>
      <c r="O11" s="12"/>
      <c r="P11" s="12"/>
    </row>
    <row r="12" spans="2:16" s="2" customFormat="1" ht="17.399999999999999" x14ac:dyDescent="0.25">
      <c r="B12" s="229"/>
      <c r="C12" s="229"/>
      <c r="D12" s="229"/>
      <c r="E12" s="229"/>
      <c r="F12" s="229"/>
      <c r="G12" s="229"/>
      <c r="H12" s="229"/>
      <c r="I12" s="11"/>
      <c r="J12" s="11"/>
      <c r="K12" s="11"/>
      <c r="L12" s="12"/>
      <c r="M12" s="12"/>
      <c r="N12" s="12"/>
      <c r="O12" s="12"/>
      <c r="P12" s="12"/>
    </row>
    <row r="13" spans="2:16" s="2" customFormat="1" ht="18" x14ac:dyDescent="0.25">
      <c r="C13" s="14"/>
      <c r="D13" s="14"/>
      <c r="E13" s="14"/>
      <c r="F13" s="14"/>
      <c r="G13" s="14"/>
      <c r="H13" s="15">
        <v>45836</v>
      </c>
      <c r="I13" s="16"/>
      <c r="J13" s="11"/>
      <c r="K13" s="11"/>
      <c r="L13" s="12"/>
      <c r="M13" s="12"/>
      <c r="N13" s="12"/>
      <c r="O13" s="12"/>
      <c r="P13" s="12"/>
    </row>
    <row r="14" spans="2:16" s="2" customFormat="1" ht="40.5" customHeight="1" x14ac:dyDescent="0.25">
      <c r="B14" s="192" t="s">
        <v>170</v>
      </c>
      <c r="C14" s="193"/>
      <c r="D14" s="193"/>
      <c r="E14" s="193"/>
      <c r="F14" s="193"/>
      <c r="G14" s="193"/>
      <c r="H14" s="194"/>
      <c r="I14" s="16"/>
      <c r="J14" s="16"/>
      <c r="K14" s="16"/>
      <c r="L14" s="16"/>
      <c r="M14" s="16"/>
      <c r="N14" s="16"/>
      <c r="O14" s="16"/>
      <c r="P14" s="16"/>
    </row>
    <row r="15" spans="2:16" s="2" customFormat="1" ht="18" x14ac:dyDescent="0.25">
      <c r="B15" s="201" t="s">
        <v>171</v>
      </c>
      <c r="C15" s="202"/>
      <c r="D15" s="202"/>
      <c r="E15" s="202"/>
      <c r="F15" s="202"/>
      <c r="G15" s="202"/>
      <c r="H15" s="203"/>
      <c r="I15" s="16"/>
      <c r="J15" s="17"/>
      <c r="K15" s="17"/>
      <c r="L15" s="18"/>
      <c r="M15" s="18"/>
      <c r="N15" s="18"/>
      <c r="O15" s="18"/>
      <c r="P15" s="18"/>
    </row>
    <row r="16" spans="2:16" s="2" customFormat="1" ht="18" x14ac:dyDescent="0.25">
      <c r="B16" s="195" t="s">
        <v>172</v>
      </c>
      <c r="C16" s="196"/>
      <c r="D16" s="196"/>
      <c r="E16" s="196"/>
      <c r="F16" s="196"/>
      <c r="G16" s="196"/>
      <c r="H16" s="197"/>
      <c r="I16" s="16"/>
      <c r="J16" s="18"/>
      <c r="K16" s="18"/>
      <c r="L16" s="18"/>
      <c r="M16" s="18"/>
      <c r="N16" s="18"/>
      <c r="O16" s="18"/>
      <c r="P16" s="18"/>
    </row>
    <row r="17" spans="2:16" s="2" customFormat="1" ht="18" x14ac:dyDescent="0.25">
      <c r="B17" s="198" t="s">
        <v>173</v>
      </c>
      <c r="C17" s="199"/>
      <c r="D17" s="199"/>
      <c r="E17" s="199"/>
      <c r="F17" s="199"/>
      <c r="G17" s="199"/>
      <c r="H17" s="200"/>
      <c r="I17" s="16"/>
      <c r="J17" s="16"/>
      <c r="K17" s="18"/>
      <c r="L17" s="18"/>
      <c r="M17" s="18"/>
      <c r="N17" s="18"/>
      <c r="O17" s="18"/>
      <c r="P17" s="18"/>
    </row>
    <row r="18" spans="2:16" s="3" customFormat="1" ht="18.600000000000001" customHeight="1" x14ac:dyDescent="0.2">
      <c r="B18" s="204" t="s">
        <v>3</v>
      </c>
      <c r="C18" s="207" t="s">
        <v>174</v>
      </c>
      <c r="D18" s="208"/>
      <c r="E18" s="209"/>
      <c r="F18" s="216" t="s">
        <v>103</v>
      </c>
      <c r="G18" s="217"/>
      <c r="H18" s="218"/>
      <c r="I18" s="19"/>
      <c r="J18" s="16"/>
    </row>
    <row r="19" spans="2:16" s="3" customFormat="1" ht="18.600000000000001" customHeight="1" x14ac:dyDescent="0.2">
      <c r="B19" s="205"/>
      <c r="C19" s="210"/>
      <c r="D19" s="211"/>
      <c r="E19" s="212"/>
      <c r="F19" s="219"/>
      <c r="G19" s="220"/>
      <c r="H19" s="221"/>
      <c r="I19" s="19"/>
      <c r="J19" s="16"/>
    </row>
    <row r="20" spans="2:16" s="3" customFormat="1" ht="18.600000000000001" customHeight="1" x14ac:dyDescent="0.2">
      <c r="B20" s="206"/>
      <c r="C20" s="213"/>
      <c r="D20" s="214"/>
      <c r="E20" s="215"/>
      <c r="F20" s="222"/>
      <c r="G20" s="223"/>
      <c r="H20" s="224"/>
      <c r="I20" s="19"/>
      <c r="J20" s="16"/>
    </row>
    <row r="21" spans="2:16" s="3" customFormat="1" ht="18.600000000000001" customHeight="1" x14ac:dyDescent="0.2"/>
    <row r="22" spans="2:16" s="4" customFormat="1" ht="33" customHeight="1" x14ac:dyDescent="0.2">
      <c r="B22" s="20" t="s">
        <v>175</v>
      </c>
      <c r="C22" s="20" t="s">
        <v>176</v>
      </c>
      <c r="D22" s="20" t="s">
        <v>15</v>
      </c>
      <c r="E22" s="20" t="s">
        <v>177</v>
      </c>
      <c r="F22" s="21" t="s">
        <v>178</v>
      </c>
      <c r="G22" s="20" t="s">
        <v>179</v>
      </c>
      <c r="H22" s="20"/>
    </row>
    <row r="23" spans="2:16" s="4" customFormat="1" ht="18.600000000000001" customHeight="1" x14ac:dyDescent="0.2">
      <c r="B23" s="140" t="s">
        <v>180</v>
      </c>
      <c r="C23" s="23"/>
      <c r="D23" s="23"/>
      <c r="E23" s="23"/>
      <c r="F23" s="23"/>
      <c r="G23" s="24"/>
      <c r="H23" s="25">
        <f>SUM(G24:G31)</f>
        <v>1834.7312999999999</v>
      </c>
    </row>
    <row r="24" spans="2:16" s="4" customFormat="1" ht="18.600000000000001" customHeight="1" x14ac:dyDescent="0.3">
      <c r="B24" s="141" t="s">
        <v>181</v>
      </c>
      <c r="C24" s="26">
        <v>0.33</v>
      </c>
      <c r="D24" s="142" t="s">
        <v>182</v>
      </c>
      <c r="E24" s="27">
        <v>160.32</v>
      </c>
      <c r="F24" s="27">
        <v>189.18</v>
      </c>
      <c r="G24" s="27">
        <f>+F24*C24</f>
        <v>62.429400000000008</v>
      </c>
      <c r="H24" s="26"/>
    </row>
    <row r="25" spans="2:16" s="4" customFormat="1" ht="18.600000000000001" customHeight="1" x14ac:dyDescent="0.3">
      <c r="B25" s="141" t="s">
        <v>183</v>
      </c>
      <c r="C25" s="26">
        <v>0.33</v>
      </c>
      <c r="D25" s="142" t="s">
        <v>182</v>
      </c>
      <c r="E25" s="27">
        <v>336.13</v>
      </c>
      <c r="F25" s="27">
        <v>396.63</v>
      </c>
      <c r="G25" s="27">
        <f t="shared" ref="G25:G38" si="0">+F25*C25</f>
        <v>130.8879</v>
      </c>
      <c r="H25" s="26"/>
    </row>
    <row r="26" spans="2:16" s="4" customFormat="1" ht="18.600000000000001" customHeight="1" x14ac:dyDescent="0.3">
      <c r="B26" s="141" t="s">
        <v>184</v>
      </c>
      <c r="C26" s="26">
        <v>0.67</v>
      </c>
      <c r="D26" s="142" t="s">
        <v>34</v>
      </c>
      <c r="E26" s="27">
        <v>293.27</v>
      </c>
      <c r="F26" s="27">
        <v>346.06</v>
      </c>
      <c r="G26" s="27">
        <f t="shared" si="0"/>
        <v>231.86020000000002</v>
      </c>
      <c r="H26" s="26"/>
    </row>
    <row r="27" spans="2:16" s="4" customFormat="1" ht="18.600000000000001" customHeight="1" x14ac:dyDescent="0.3">
      <c r="B27" s="141" t="s">
        <v>185</v>
      </c>
      <c r="C27" s="26">
        <v>0.59199999999999997</v>
      </c>
      <c r="D27" s="142" t="s">
        <v>34</v>
      </c>
      <c r="E27" s="27">
        <v>1395</v>
      </c>
      <c r="F27" s="27">
        <v>1646.1</v>
      </c>
      <c r="G27" s="27">
        <f t="shared" si="0"/>
        <v>974.49119999999994</v>
      </c>
      <c r="H27" s="26"/>
    </row>
    <row r="28" spans="2:16" s="4" customFormat="1" ht="18.600000000000001" customHeight="1" x14ac:dyDescent="0.3">
      <c r="B28" s="141" t="s">
        <v>186</v>
      </c>
      <c r="C28" s="26">
        <v>15.22</v>
      </c>
      <c r="D28" s="142" t="s">
        <v>187</v>
      </c>
      <c r="E28" s="27">
        <v>0.52</v>
      </c>
      <c r="F28" s="27">
        <v>0.61</v>
      </c>
      <c r="G28" s="27">
        <f t="shared" si="0"/>
        <v>9.2842000000000002</v>
      </c>
      <c r="H28" s="26"/>
    </row>
    <row r="29" spans="2:16" s="4" customFormat="1" ht="18.600000000000001" customHeight="1" x14ac:dyDescent="0.3">
      <c r="B29" s="141" t="s">
        <v>188</v>
      </c>
      <c r="C29" s="26">
        <v>0.05</v>
      </c>
      <c r="D29" s="142" t="s">
        <v>189</v>
      </c>
      <c r="E29" s="27">
        <v>1742.94</v>
      </c>
      <c r="F29" s="27">
        <v>1742.94</v>
      </c>
      <c r="G29" s="27">
        <f t="shared" si="0"/>
        <v>87.147000000000006</v>
      </c>
      <c r="H29" s="26"/>
    </row>
    <row r="30" spans="2:16" s="4" customFormat="1" ht="18.600000000000001" customHeight="1" x14ac:dyDescent="0.3">
      <c r="B30" s="141" t="s">
        <v>190</v>
      </c>
      <c r="C30" s="26">
        <v>0.05</v>
      </c>
      <c r="D30" s="142" t="s">
        <v>189</v>
      </c>
      <c r="E30" s="27">
        <v>915.22</v>
      </c>
      <c r="F30" s="27">
        <v>915.22</v>
      </c>
      <c r="G30" s="27">
        <f t="shared" si="0"/>
        <v>45.761000000000003</v>
      </c>
      <c r="H30" s="26"/>
    </row>
    <row r="31" spans="2:16" s="4" customFormat="1" ht="18.600000000000001" customHeight="1" x14ac:dyDescent="0.3">
      <c r="B31" s="141" t="s">
        <v>191</v>
      </c>
      <c r="C31" s="26">
        <v>0.32</v>
      </c>
      <c r="D31" s="142" t="s">
        <v>189</v>
      </c>
      <c r="E31" s="27">
        <v>915.22</v>
      </c>
      <c r="F31" s="27">
        <v>915.22</v>
      </c>
      <c r="G31" s="27">
        <f t="shared" si="0"/>
        <v>292.87040000000002</v>
      </c>
      <c r="H31" s="26"/>
    </row>
    <row r="32" spans="2:16" s="4" customFormat="1" ht="18.600000000000001" customHeight="1" x14ac:dyDescent="0.3">
      <c r="B32" s="23"/>
      <c r="C32" s="26"/>
      <c r="D32" s="26"/>
      <c r="E32" s="27"/>
      <c r="F32" s="28"/>
      <c r="G32" s="28"/>
      <c r="H32" s="26"/>
    </row>
    <row r="33" spans="2:8" s="4" customFormat="1" ht="18.600000000000001" customHeight="1" x14ac:dyDescent="0.3">
      <c r="B33" s="23"/>
      <c r="C33" s="26"/>
      <c r="D33" s="26"/>
      <c r="E33" s="28"/>
      <c r="F33" s="28"/>
      <c r="G33" s="28"/>
      <c r="H33" s="26"/>
    </row>
    <row r="34" spans="2:8" s="4" customFormat="1" ht="18.600000000000001" customHeight="1" x14ac:dyDescent="0.3">
      <c r="B34" s="140" t="s">
        <v>192</v>
      </c>
      <c r="C34" s="26"/>
      <c r="D34" s="26"/>
      <c r="E34" s="28"/>
      <c r="F34" s="28"/>
      <c r="G34" s="28"/>
      <c r="H34" s="29">
        <f>SUM(G35:G38)</f>
        <v>30359.986155999999</v>
      </c>
    </row>
    <row r="35" spans="2:8" s="4" customFormat="1" ht="18.600000000000001" customHeight="1" x14ac:dyDescent="0.3">
      <c r="B35" s="141" t="s">
        <v>193</v>
      </c>
      <c r="C35" s="26">
        <v>2.4222000000000001</v>
      </c>
      <c r="D35" s="142" t="s">
        <v>194</v>
      </c>
      <c r="E35" s="27">
        <v>3267.33</v>
      </c>
      <c r="F35" s="27">
        <v>3267.33</v>
      </c>
      <c r="G35" s="27">
        <f t="shared" si="0"/>
        <v>7914.1267260000004</v>
      </c>
      <c r="H35" s="26"/>
    </row>
    <row r="36" spans="2:8" s="4" customFormat="1" ht="18.600000000000001" customHeight="1" x14ac:dyDescent="0.3">
      <c r="B36" s="141" t="s">
        <v>195</v>
      </c>
      <c r="C36" s="26">
        <v>2.4222000000000001</v>
      </c>
      <c r="D36" s="142" t="s">
        <v>194</v>
      </c>
      <c r="E36" s="27">
        <v>675.65</v>
      </c>
      <c r="F36" s="27">
        <v>675.65</v>
      </c>
      <c r="G36" s="27">
        <f t="shared" si="0"/>
        <v>1636.55943</v>
      </c>
      <c r="H36" s="26"/>
    </row>
    <row r="37" spans="2:8" s="4" customFormat="1" ht="18.600000000000001" customHeight="1" x14ac:dyDescent="0.3">
      <c r="B37" s="141" t="s">
        <v>196</v>
      </c>
      <c r="C37" s="26">
        <v>10</v>
      </c>
      <c r="D37" s="142" t="s">
        <v>29</v>
      </c>
      <c r="E37" s="27">
        <v>1151.43</v>
      </c>
      <c r="F37" s="27">
        <v>1151.43</v>
      </c>
      <c r="G37" s="27">
        <f t="shared" si="0"/>
        <v>11514.300000000001</v>
      </c>
      <c r="H37" s="26"/>
    </row>
    <row r="38" spans="2:8" s="4" customFormat="1" ht="18.600000000000001" customHeight="1" x14ac:dyDescent="0.3">
      <c r="B38" s="141" t="s">
        <v>197</v>
      </c>
      <c r="C38" s="26">
        <v>1.1000000000000001</v>
      </c>
      <c r="D38" s="142" t="s">
        <v>34</v>
      </c>
      <c r="E38" s="27">
        <v>8450</v>
      </c>
      <c r="F38" s="27">
        <v>8450</v>
      </c>
      <c r="G38" s="27">
        <f t="shared" si="0"/>
        <v>9295</v>
      </c>
      <c r="H38" s="26"/>
    </row>
    <row r="39" spans="2:8" s="4" customFormat="1" ht="18.600000000000001" customHeight="1" x14ac:dyDescent="0.3">
      <c r="B39" s="23"/>
      <c r="C39" s="26"/>
      <c r="D39" s="26"/>
      <c r="E39" s="28"/>
      <c r="F39" s="28"/>
      <c r="G39" s="28"/>
      <c r="H39" s="26"/>
    </row>
    <row r="40" spans="2:8" s="4" customFormat="1" ht="18.600000000000001" customHeight="1" x14ac:dyDescent="0.3">
      <c r="B40" s="23"/>
      <c r="C40" s="26"/>
      <c r="D40" s="26"/>
      <c r="E40" s="28"/>
      <c r="F40" s="28"/>
      <c r="G40" s="28"/>
      <c r="H40" s="26"/>
    </row>
    <row r="41" spans="2:8" s="4" customFormat="1" ht="18.600000000000001" customHeight="1" x14ac:dyDescent="0.3">
      <c r="B41" s="140" t="s">
        <v>198</v>
      </c>
      <c r="C41" s="23"/>
      <c r="D41" s="23"/>
      <c r="E41" s="30"/>
      <c r="F41" s="31">
        <v>10</v>
      </c>
      <c r="G41" s="143" t="s">
        <v>199</v>
      </c>
      <c r="H41" s="32">
        <f>SUM(G47:G55)/F41</f>
        <v>1443.193884</v>
      </c>
    </row>
    <row r="42" spans="2:8" s="4" customFormat="1" ht="18.600000000000001" customHeight="1" x14ac:dyDescent="0.2">
      <c r="B42" s="141" t="s">
        <v>200</v>
      </c>
      <c r="C42" s="23"/>
      <c r="D42" s="23"/>
      <c r="E42" s="30"/>
      <c r="F42" s="30"/>
      <c r="G42" s="30"/>
      <c r="H42" s="23"/>
    </row>
    <row r="43" spans="2:8" s="4" customFormat="1" ht="18.600000000000001" customHeight="1" x14ac:dyDescent="0.3">
      <c r="B43" s="141" t="s">
        <v>201</v>
      </c>
      <c r="C43" s="26"/>
      <c r="D43" s="26"/>
      <c r="E43" s="28"/>
      <c r="F43" s="28"/>
      <c r="G43" s="33"/>
      <c r="H43" s="26"/>
    </row>
    <row r="44" spans="2:8" s="4" customFormat="1" ht="18.600000000000001" customHeight="1" x14ac:dyDescent="0.3">
      <c r="B44" s="141" t="s">
        <v>202</v>
      </c>
      <c r="C44" s="23"/>
      <c r="D44" s="23"/>
      <c r="E44" s="28"/>
      <c r="F44" s="28"/>
      <c r="G44" s="33"/>
      <c r="H44" s="26"/>
    </row>
    <row r="45" spans="2:8" s="4" customFormat="1" ht="18.600000000000001" customHeight="1" x14ac:dyDescent="0.2">
      <c r="B45" s="140" t="s">
        <v>203</v>
      </c>
      <c r="C45" s="23"/>
      <c r="D45" s="23"/>
      <c r="E45" s="30"/>
      <c r="F45" s="30"/>
      <c r="G45" s="33"/>
      <c r="H45" s="23"/>
    </row>
    <row r="46" spans="2:8" s="4" customFormat="1" ht="18.600000000000001" customHeight="1" x14ac:dyDescent="0.2">
      <c r="B46" s="23"/>
      <c r="C46" s="23"/>
      <c r="D46" s="23"/>
      <c r="E46" s="30"/>
      <c r="F46" s="30"/>
      <c r="G46" s="33"/>
      <c r="H46" s="23"/>
    </row>
    <row r="47" spans="2:8" s="4" customFormat="1" ht="18.600000000000001" customHeight="1" x14ac:dyDescent="0.3">
      <c r="B47" s="141" t="s">
        <v>204</v>
      </c>
      <c r="C47" s="34">
        <v>12.1</v>
      </c>
      <c r="D47" s="144" t="s">
        <v>205</v>
      </c>
      <c r="E47" s="27">
        <v>58.47</v>
      </c>
      <c r="F47" s="27">
        <v>10.52</v>
      </c>
      <c r="G47" s="36">
        <f>+F47*C47</f>
        <v>127.29199999999999</v>
      </c>
      <c r="H47" s="35"/>
    </row>
    <row r="48" spans="2:8" s="4" customFormat="1" ht="18.600000000000001" customHeight="1" x14ac:dyDescent="0.3">
      <c r="B48" s="141" t="s">
        <v>206</v>
      </c>
      <c r="C48" s="34">
        <v>5.5</v>
      </c>
      <c r="D48" s="144" t="s">
        <v>207</v>
      </c>
      <c r="E48" s="27">
        <v>36.44</v>
      </c>
      <c r="F48" s="27">
        <v>6.56</v>
      </c>
      <c r="G48" s="36">
        <f t="shared" ref="G48:G54" si="1">+F48*C48</f>
        <v>36.08</v>
      </c>
      <c r="H48" s="35"/>
    </row>
    <row r="49" spans="2:8" s="4" customFormat="1" ht="18.600000000000001" customHeight="1" x14ac:dyDescent="0.3">
      <c r="B49" s="141" t="s">
        <v>208</v>
      </c>
      <c r="C49" s="34">
        <v>1.02</v>
      </c>
      <c r="D49" s="144" t="s">
        <v>34</v>
      </c>
      <c r="E49" s="27">
        <v>7400</v>
      </c>
      <c r="F49" s="27">
        <f>+E49*1.18</f>
        <v>8732</v>
      </c>
      <c r="G49" s="36">
        <f t="shared" si="1"/>
        <v>8906.64</v>
      </c>
      <c r="H49" s="37"/>
    </row>
    <row r="50" spans="2:8" s="4" customFormat="1" ht="18.600000000000001" customHeight="1" x14ac:dyDescent="0.3">
      <c r="B50" s="141" t="s">
        <v>209</v>
      </c>
      <c r="C50" s="34">
        <v>0.74</v>
      </c>
      <c r="D50" s="144" t="s">
        <v>34</v>
      </c>
      <c r="E50" s="27">
        <v>1279.7</v>
      </c>
      <c r="F50" s="27">
        <f>+E50*1.18</f>
        <v>1510.046</v>
      </c>
      <c r="G50" s="36">
        <f t="shared" si="1"/>
        <v>1117.4340400000001</v>
      </c>
      <c r="H50" s="35"/>
    </row>
    <row r="51" spans="2:8" s="4" customFormat="1" ht="18.600000000000001" customHeight="1" x14ac:dyDescent="0.3">
      <c r="B51" s="141" t="s">
        <v>210</v>
      </c>
      <c r="C51" s="34">
        <v>0.74</v>
      </c>
      <c r="D51" s="144" t="s">
        <v>34</v>
      </c>
      <c r="E51" s="27">
        <v>956.25</v>
      </c>
      <c r="F51" s="27">
        <v>172.13</v>
      </c>
      <c r="G51" s="36">
        <f t="shared" si="1"/>
        <v>127.3762</v>
      </c>
      <c r="H51" s="35"/>
    </row>
    <row r="52" spans="2:8" s="4" customFormat="1" ht="18.600000000000001" customHeight="1" x14ac:dyDescent="0.3">
      <c r="B52" s="141" t="s">
        <v>211</v>
      </c>
      <c r="C52" s="34">
        <v>0.1</v>
      </c>
      <c r="D52" s="144" t="s">
        <v>34</v>
      </c>
      <c r="E52" s="27">
        <v>13802.59</v>
      </c>
      <c r="F52" s="27">
        <v>13802.59</v>
      </c>
      <c r="G52" s="36">
        <f t="shared" si="1"/>
        <v>1380.259</v>
      </c>
      <c r="H52" s="35"/>
    </row>
    <row r="53" spans="2:8" s="4" customFormat="1" ht="18.600000000000001" customHeight="1" x14ac:dyDescent="0.3">
      <c r="B53" s="140" t="s">
        <v>212</v>
      </c>
      <c r="C53" s="34">
        <v>0.08</v>
      </c>
      <c r="D53" s="144" t="s">
        <v>34</v>
      </c>
      <c r="E53" s="27">
        <v>759.47</v>
      </c>
      <c r="F53" s="27">
        <v>759.47</v>
      </c>
      <c r="G53" s="36">
        <f t="shared" si="1"/>
        <v>60.757600000000004</v>
      </c>
      <c r="H53" s="35"/>
    </row>
    <row r="54" spans="2:8" s="4" customFormat="1" ht="18.600000000000001" customHeight="1" x14ac:dyDescent="0.3">
      <c r="B54" s="141" t="s">
        <v>213</v>
      </c>
      <c r="C54" s="34">
        <v>10</v>
      </c>
      <c r="D54" s="144" t="s">
        <v>214</v>
      </c>
      <c r="E54" s="27">
        <v>267.61</v>
      </c>
      <c r="F54" s="27">
        <v>267.61</v>
      </c>
      <c r="G54" s="36">
        <f t="shared" si="1"/>
        <v>2676.1000000000004</v>
      </c>
      <c r="H54" s="35"/>
    </row>
    <row r="55" spans="2:8" s="4" customFormat="1" ht="18.600000000000001" customHeight="1" x14ac:dyDescent="0.2">
      <c r="B55" s="23"/>
      <c r="C55" s="37"/>
      <c r="D55" s="37"/>
      <c r="E55" s="38"/>
      <c r="F55" s="38"/>
      <c r="G55" s="38"/>
      <c r="H55" s="37"/>
    </row>
    <row r="56" spans="2:8" s="4" customFormat="1" ht="18.600000000000001" customHeight="1" x14ac:dyDescent="0.2">
      <c r="B56" s="23"/>
      <c r="C56" s="35"/>
      <c r="D56" s="35"/>
      <c r="E56" s="34"/>
      <c r="F56" s="34"/>
      <c r="G56" s="34"/>
      <c r="H56" s="35"/>
    </row>
    <row r="57" spans="2:8" s="4" customFormat="1" ht="18.600000000000001" customHeight="1" x14ac:dyDescent="0.2">
      <c r="B57" s="140" t="s">
        <v>215</v>
      </c>
      <c r="C57" s="35"/>
      <c r="D57" s="35"/>
      <c r="E57" s="34"/>
      <c r="F57" s="34"/>
      <c r="G57" s="34"/>
      <c r="H57" s="32">
        <f>SUM(G58:G63)</f>
        <v>1597.6803200000002</v>
      </c>
    </row>
    <row r="58" spans="2:8" s="4" customFormat="1" ht="18.600000000000001" customHeight="1" x14ac:dyDescent="0.3">
      <c r="B58" s="141" t="s">
        <v>216</v>
      </c>
      <c r="C58" s="34">
        <v>1</v>
      </c>
      <c r="D58" s="144" t="s">
        <v>29</v>
      </c>
      <c r="E58" s="27">
        <v>75.09</v>
      </c>
      <c r="F58" s="27">
        <v>75.09</v>
      </c>
      <c r="G58" s="36">
        <f t="shared" ref="G58:G63" si="2">+F58*C58</f>
        <v>75.09</v>
      </c>
      <c r="H58" s="35"/>
    </row>
    <row r="59" spans="2:8" s="4" customFormat="1" ht="18.600000000000001" customHeight="1" x14ac:dyDescent="0.3">
      <c r="B59" s="141" t="s">
        <v>217</v>
      </c>
      <c r="C59" s="34">
        <v>0.105</v>
      </c>
      <c r="D59" s="144" t="s">
        <v>34</v>
      </c>
      <c r="E59" s="27">
        <v>7400</v>
      </c>
      <c r="F59" s="27">
        <f>+E59*1.18</f>
        <v>8732</v>
      </c>
      <c r="G59" s="36">
        <f t="shared" si="2"/>
        <v>916.86</v>
      </c>
      <c r="H59" s="35"/>
    </row>
    <row r="60" spans="2:8" s="4" customFormat="1" ht="18.600000000000001" customHeight="1" x14ac:dyDescent="0.3">
      <c r="B60" s="141" t="s">
        <v>218</v>
      </c>
      <c r="C60" s="34">
        <v>2.1999999999999999E-2</v>
      </c>
      <c r="D60" s="144" t="s">
        <v>34</v>
      </c>
      <c r="E60" s="27">
        <v>7400</v>
      </c>
      <c r="F60" s="27">
        <f>+E60*1.18</f>
        <v>8732</v>
      </c>
      <c r="G60" s="36">
        <f t="shared" si="2"/>
        <v>192.10399999999998</v>
      </c>
      <c r="H60" s="37"/>
    </row>
    <row r="61" spans="2:8" s="4" customFormat="1" ht="18.600000000000001" customHeight="1" x14ac:dyDescent="0.3">
      <c r="B61" s="141" t="s">
        <v>219</v>
      </c>
      <c r="C61" s="34">
        <v>8.7999999999999995E-2</v>
      </c>
      <c r="D61" s="144" t="s">
        <v>205</v>
      </c>
      <c r="E61" s="27">
        <v>253.93</v>
      </c>
      <c r="F61" s="27">
        <v>299.64</v>
      </c>
      <c r="G61" s="36">
        <f t="shared" si="2"/>
        <v>26.368319999999997</v>
      </c>
      <c r="H61" s="35"/>
    </row>
    <row r="62" spans="2:8" s="4" customFormat="1" ht="18.600000000000001" customHeight="1" x14ac:dyDescent="0.3">
      <c r="B62" s="141" t="s">
        <v>220</v>
      </c>
      <c r="C62" s="34">
        <v>1</v>
      </c>
      <c r="D62" s="144" t="s">
        <v>34</v>
      </c>
      <c r="E62" s="27">
        <v>257.17</v>
      </c>
      <c r="F62" s="27">
        <v>257.17</v>
      </c>
      <c r="G62" s="36">
        <f t="shared" si="2"/>
        <v>257.17</v>
      </c>
      <c r="H62" s="35"/>
    </row>
    <row r="63" spans="2:8" s="4" customFormat="1" ht="18.600000000000001" customHeight="1" x14ac:dyDescent="0.3">
      <c r="B63" s="141" t="s">
        <v>221</v>
      </c>
      <c r="C63" s="34">
        <v>0.8</v>
      </c>
      <c r="D63" s="144" t="s">
        <v>214</v>
      </c>
      <c r="E63" s="27">
        <v>162.61000000000001</v>
      </c>
      <c r="F63" s="27">
        <v>162.61000000000001</v>
      </c>
      <c r="G63" s="36">
        <f t="shared" si="2"/>
        <v>130.08800000000002</v>
      </c>
      <c r="H63" s="35"/>
    </row>
    <row r="64" spans="2:8" s="4" customFormat="1" ht="18.600000000000001" customHeight="1" x14ac:dyDescent="0.3">
      <c r="B64" s="23"/>
      <c r="C64" s="34"/>
      <c r="D64" s="35"/>
      <c r="E64" s="28"/>
      <c r="F64" s="28"/>
      <c r="G64" s="34"/>
      <c r="H64" s="35"/>
    </row>
    <row r="65" spans="2:8" s="4" customFormat="1" ht="18.600000000000001" customHeight="1" x14ac:dyDescent="0.3">
      <c r="B65" s="140" t="s">
        <v>222</v>
      </c>
      <c r="C65" s="34"/>
      <c r="D65" s="35"/>
      <c r="E65" s="28"/>
      <c r="F65" s="28"/>
      <c r="G65" s="143" t="s">
        <v>223</v>
      </c>
      <c r="H65" s="32">
        <f>SUM(G66:G73)</f>
        <v>1020.176</v>
      </c>
    </row>
    <row r="66" spans="2:8" s="4" customFormat="1" ht="18.600000000000001" customHeight="1" x14ac:dyDescent="0.3">
      <c r="B66" s="39" t="s">
        <v>224</v>
      </c>
      <c r="C66" s="34">
        <v>13</v>
      </c>
      <c r="D66" s="145" t="s">
        <v>225</v>
      </c>
      <c r="E66" s="36">
        <v>38</v>
      </c>
      <c r="F66" s="27">
        <f>E66*1.18</f>
        <v>44.839999999999996</v>
      </c>
      <c r="G66" s="36">
        <f t="shared" ref="G66:G73" si="3">C125*E66</f>
        <v>494</v>
      </c>
      <c r="H66" s="35"/>
    </row>
    <row r="67" spans="2:8" s="4" customFormat="1" ht="18.600000000000001" customHeight="1" x14ac:dyDescent="0.3">
      <c r="B67" s="39" t="s">
        <v>226</v>
      </c>
      <c r="C67" s="34">
        <v>3.1199999999999999E-2</v>
      </c>
      <c r="D67" s="145" t="s">
        <v>150</v>
      </c>
      <c r="E67" s="36">
        <v>3300</v>
      </c>
      <c r="F67" s="27">
        <f t="shared" ref="F67:F83" si="4">E67*1.18</f>
        <v>3894</v>
      </c>
      <c r="G67" s="36">
        <f t="shared" si="3"/>
        <v>102.96</v>
      </c>
      <c r="H67" s="35"/>
    </row>
    <row r="68" spans="2:8" s="4" customFormat="1" ht="18.600000000000001" customHeight="1" x14ac:dyDescent="0.3">
      <c r="B68" s="39" t="s">
        <v>227</v>
      </c>
      <c r="C68" s="34">
        <v>0.02</v>
      </c>
      <c r="D68" s="145" t="s">
        <v>150</v>
      </c>
      <c r="E68" s="36">
        <v>3300</v>
      </c>
      <c r="F68" s="27">
        <f t="shared" si="4"/>
        <v>3894</v>
      </c>
      <c r="G68" s="36">
        <f t="shared" si="3"/>
        <v>66</v>
      </c>
      <c r="H68" s="35"/>
    </row>
    <row r="69" spans="2:8" s="4" customFormat="1" ht="18.600000000000001" customHeight="1" x14ac:dyDescent="0.3">
      <c r="B69" s="39" t="s">
        <v>228</v>
      </c>
      <c r="C69" s="34">
        <f>0.0296*2.1</f>
        <v>6.2160000000000007E-2</v>
      </c>
      <c r="D69" s="145" t="s">
        <v>229</v>
      </c>
      <c r="E69" s="36">
        <v>2600</v>
      </c>
      <c r="F69" s="27">
        <f t="shared" si="4"/>
        <v>3068</v>
      </c>
      <c r="G69" s="36">
        <f t="shared" si="3"/>
        <v>161.61600000000001</v>
      </c>
      <c r="H69" s="35"/>
    </row>
    <row r="70" spans="2:8" s="4" customFormat="1" ht="18.600000000000001" customHeight="1" x14ac:dyDescent="0.3">
      <c r="B70" s="39" t="s">
        <v>230</v>
      </c>
      <c r="C70" s="34">
        <v>0.04</v>
      </c>
      <c r="D70" s="145" t="s">
        <v>225</v>
      </c>
      <c r="E70" s="36">
        <v>639</v>
      </c>
      <c r="F70" s="27">
        <f t="shared" si="4"/>
        <v>754.02</v>
      </c>
      <c r="G70" s="36">
        <f t="shared" si="3"/>
        <v>25.560000000000002</v>
      </c>
      <c r="H70" s="35"/>
    </row>
    <row r="71" spans="2:8" s="4" customFormat="1" ht="18.600000000000001" customHeight="1" x14ac:dyDescent="0.3">
      <c r="B71" s="39" t="s">
        <v>231</v>
      </c>
      <c r="C71" s="34">
        <v>13</v>
      </c>
      <c r="D71" s="145" t="s">
        <v>225</v>
      </c>
      <c r="E71" s="36">
        <v>0.69</v>
      </c>
      <c r="F71" s="27">
        <f t="shared" si="4"/>
        <v>0.81419999999999992</v>
      </c>
      <c r="G71" s="36">
        <f t="shared" si="3"/>
        <v>8.9699999999999989</v>
      </c>
      <c r="H71" s="35"/>
    </row>
    <row r="72" spans="2:8" s="4" customFormat="1" ht="18.600000000000001" customHeight="1" x14ac:dyDescent="0.3">
      <c r="B72" s="39" t="s">
        <v>232</v>
      </c>
      <c r="C72" s="34">
        <v>13</v>
      </c>
      <c r="D72" s="145" t="s">
        <v>225</v>
      </c>
      <c r="E72" s="36">
        <v>1.39</v>
      </c>
      <c r="F72" s="27">
        <f t="shared" si="4"/>
        <v>1.6401999999999999</v>
      </c>
      <c r="G72" s="36">
        <f t="shared" si="3"/>
        <v>18.07</v>
      </c>
      <c r="H72" s="35"/>
    </row>
    <row r="73" spans="2:8" s="4" customFormat="1" ht="18.600000000000001" customHeight="1" x14ac:dyDescent="0.3">
      <c r="B73" s="39" t="s">
        <v>233</v>
      </c>
      <c r="C73" s="34">
        <v>13</v>
      </c>
      <c r="D73" s="145" t="s">
        <v>225</v>
      </c>
      <c r="E73" s="36">
        <v>11</v>
      </c>
      <c r="F73" s="27">
        <f t="shared" si="4"/>
        <v>12.979999999999999</v>
      </c>
      <c r="G73" s="36">
        <f t="shared" si="3"/>
        <v>143</v>
      </c>
      <c r="H73" s="35"/>
    </row>
    <row r="74" spans="2:8" s="4" customFormat="1" ht="18.600000000000001" customHeight="1" x14ac:dyDescent="0.3">
      <c r="B74" s="39"/>
      <c r="C74" s="34"/>
      <c r="D74" s="34"/>
      <c r="E74" s="34"/>
      <c r="F74" s="28"/>
      <c r="G74" s="34"/>
      <c r="H74" s="35"/>
    </row>
    <row r="75" spans="2:8" s="4" customFormat="1" ht="18.600000000000001" customHeight="1" x14ac:dyDescent="0.3">
      <c r="B75" s="140" t="s">
        <v>234</v>
      </c>
      <c r="C75" s="22"/>
      <c r="D75" s="22"/>
      <c r="E75" s="22"/>
      <c r="F75" s="28"/>
      <c r="G75" s="146" t="s">
        <v>235</v>
      </c>
      <c r="H75" s="32">
        <f>SUM(G76:G83)</f>
        <v>11157.836249999998</v>
      </c>
    </row>
    <row r="76" spans="2:8" s="4" customFormat="1" ht="18.600000000000001" customHeight="1" x14ac:dyDescent="0.3">
      <c r="B76" s="40"/>
      <c r="C76" s="41"/>
      <c r="D76" s="41"/>
      <c r="E76" s="42"/>
      <c r="F76" s="27"/>
      <c r="G76" s="42"/>
      <c r="H76" s="35"/>
    </row>
    <row r="77" spans="2:8" s="4" customFormat="1" ht="18.600000000000001" customHeight="1" x14ac:dyDescent="0.3">
      <c r="B77" s="40" t="s">
        <v>236</v>
      </c>
      <c r="C77" s="41">
        <f>(1.5*1.5*0.15)+0.05</f>
        <v>0.38749999999999996</v>
      </c>
      <c r="D77" s="41" t="s">
        <v>32</v>
      </c>
      <c r="E77" s="42">
        <v>7950</v>
      </c>
      <c r="F77" s="27">
        <f t="shared" si="4"/>
        <v>9381</v>
      </c>
      <c r="G77" s="42">
        <f t="shared" ref="G77:G83" si="5">C77*E77</f>
        <v>3080.6249999999995</v>
      </c>
      <c r="H77" s="35"/>
    </row>
    <row r="78" spans="2:8" s="4" customFormat="1" ht="18.600000000000001" customHeight="1" x14ac:dyDescent="0.3">
      <c r="B78" s="40" t="s">
        <v>237</v>
      </c>
      <c r="C78" s="41">
        <v>1.28</v>
      </c>
      <c r="D78" s="41" t="s">
        <v>229</v>
      </c>
      <c r="E78" s="42">
        <v>3410</v>
      </c>
      <c r="F78" s="27">
        <f t="shared" si="4"/>
        <v>4023.7999999999997</v>
      </c>
      <c r="G78" s="42">
        <f t="shared" si="5"/>
        <v>4364.8</v>
      </c>
      <c r="H78" s="35"/>
    </row>
    <row r="79" spans="2:8" s="4" customFormat="1" ht="18.600000000000001" customHeight="1" x14ac:dyDescent="0.3">
      <c r="B79" s="40" t="s">
        <v>238</v>
      </c>
      <c r="C79" s="41">
        <f>C78*2</f>
        <v>2.56</v>
      </c>
      <c r="D79" s="41" t="s">
        <v>239</v>
      </c>
      <c r="E79" s="42">
        <v>55</v>
      </c>
      <c r="F79" s="27">
        <f t="shared" si="4"/>
        <v>64.899999999999991</v>
      </c>
      <c r="G79" s="42">
        <f t="shared" si="5"/>
        <v>140.80000000000001</v>
      </c>
      <c r="H79" s="35"/>
    </row>
    <row r="80" spans="2:8" s="4" customFormat="1" ht="18.600000000000001" customHeight="1" x14ac:dyDescent="0.3">
      <c r="B80" s="40" t="s">
        <v>240</v>
      </c>
      <c r="C80" s="41">
        <f>C78</f>
        <v>1.28</v>
      </c>
      <c r="D80" s="41" t="s">
        <v>229</v>
      </c>
      <c r="E80" s="42">
        <v>450</v>
      </c>
      <c r="F80" s="27">
        <f t="shared" si="4"/>
        <v>531</v>
      </c>
      <c r="G80" s="42">
        <f t="shared" si="5"/>
        <v>576</v>
      </c>
      <c r="H80" s="35"/>
    </row>
    <row r="81" spans="2:8" s="4" customFormat="1" ht="18.600000000000001" customHeight="1" x14ac:dyDescent="0.3">
      <c r="B81" s="40" t="s">
        <v>241</v>
      </c>
      <c r="C81" s="43">
        <f>1.5*4</f>
        <v>6</v>
      </c>
      <c r="D81" s="41" t="s">
        <v>32</v>
      </c>
      <c r="E81" s="42">
        <v>150</v>
      </c>
      <c r="F81" s="27">
        <f t="shared" si="4"/>
        <v>177</v>
      </c>
      <c r="G81" s="42">
        <f t="shared" si="5"/>
        <v>900</v>
      </c>
      <c r="H81" s="35"/>
    </row>
    <row r="82" spans="2:8" s="4" customFormat="1" ht="18.600000000000001" customHeight="1" x14ac:dyDescent="0.3">
      <c r="B82" s="40" t="s">
        <v>242</v>
      </c>
      <c r="C82" s="41">
        <f>1.5*1.5</f>
        <v>2.25</v>
      </c>
      <c r="D82" s="41" t="s">
        <v>223</v>
      </c>
      <c r="E82" s="42">
        <v>750</v>
      </c>
      <c r="F82" s="27">
        <f t="shared" si="4"/>
        <v>885</v>
      </c>
      <c r="G82" s="42">
        <f t="shared" si="5"/>
        <v>1687.5</v>
      </c>
      <c r="H82" s="35"/>
    </row>
    <row r="83" spans="2:8" s="4" customFormat="1" ht="18.600000000000001" customHeight="1" x14ac:dyDescent="0.3">
      <c r="B83" s="40" t="s">
        <v>243</v>
      </c>
      <c r="C83" s="41">
        <v>0.05</v>
      </c>
      <c r="D83" s="41" t="s">
        <v>82</v>
      </c>
      <c r="E83" s="42">
        <f>SUM(G77:G80)</f>
        <v>8162.2249999999995</v>
      </c>
      <c r="F83" s="27">
        <f t="shared" si="4"/>
        <v>9631.4254999999994</v>
      </c>
      <c r="G83" s="42">
        <f t="shared" si="5"/>
        <v>408.11124999999998</v>
      </c>
      <c r="H83" s="35"/>
    </row>
    <row r="84" spans="2:8" s="4" customFormat="1" ht="18.600000000000001" customHeight="1" x14ac:dyDescent="0.3">
      <c r="B84" s="40"/>
      <c r="C84" s="41"/>
      <c r="D84" s="41"/>
      <c r="E84" s="41"/>
      <c r="F84" s="28"/>
      <c r="G84" s="43"/>
      <c r="H84" s="35"/>
    </row>
    <row r="85" spans="2:8" s="4" customFormat="1" ht="18.600000000000001" customHeight="1" x14ac:dyDescent="0.3">
      <c r="B85" s="40"/>
      <c r="C85" s="41"/>
      <c r="D85" s="41"/>
      <c r="E85" s="41"/>
      <c r="F85" s="28"/>
      <c r="G85" s="43"/>
      <c r="H85" s="35"/>
    </row>
    <row r="86" spans="2:8" s="4" customFormat="1" ht="18.600000000000001" customHeight="1" x14ac:dyDescent="0.3">
      <c r="B86" s="140" t="s">
        <v>244</v>
      </c>
      <c r="C86" s="41"/>
      <c r="D86" s="41"/>
      <c r="E86" s="41"/>
      <c r="F86" s="28"/>
      <c r="G86" s="43"/>
      <c r="H86" s="35"/>
    </row>
    <row r="87" spans="2:8" s="4" customFormat="1" ht="18.600000000000001" customHeight="1" x14ac:dyDescent="0.3">
      <c r="B87" s="40"/>
      <c r="C87" s="41"/>
      <c r="D87" s="41"/>
      <c r="E87" s="41"/>
      <c r="F87" s="28"/>
      <c r="G87" s="43"/>
      <c r="H87" s="32">
        <f>SUM(G88:G99)</f>
        <v>82020.492560000013</v>
      </c>
    </row>
    <row r="88" spans="2:8" s="4" customFormat="1" ht="18.600000000000001" customHeight="1" x14ac:dyDescent="0.3">
      <c r="B88" s="40" t="s">
        <v>245</v>
      </c>
      <c r="C88" s="28">
        <f>1.5*1.5*2</f>
        <v>4.5</v>
      </c>
      <c r="D88" s="147" t="s">
        <v>246</v>
      </c>
      <c r="E88" s="27">
        <v>1800</v>
      </c>
      <c r="F88" s="27">
        <f>E88*1.18</f>
        <v>2124</v>
      </c>
      <c r="G88" s="43">
        <f>F88*C88</f>
        <v>9558</v>
      </c>
      <c r="H88" s="35"/>
    </row>
    <row r="89" spans="2:8" s="4" customFormat="1" ht="18.600000000000001" customHeight="1" x14ac:dyDescent="0.3">
      <c r="B89" s="40" t="s">
        <v>247</v>
      </c>
      <c r="C89" s="28">
        <v>16.239999999999998</v>
      </c>
      <c r="D89" s="147" t="s">
        <v>248</v>
      </c>
      <c r="E89" s="27">
        <v>75</v>
      </c>
      <c r="F89" s="27">
        <f t="shared" ref="F89:F99" si="6">E89*1.18</f>
        <v>88.5</v>
      </c>
      <c r="G89" s="43">
        <f t="shared" ref="G89:G99" si="7">F89*C89</f>
        <v>1437.2399999999998</v>
      </c>
      <c r="H89" s="35"/>
    </row>
    <row r="90" spans="2:8" s="4" customFormat="1" ht="18.600000000000001" customHeight="1" x14ac:dyDescent="0.3">
      <c r="B90" s="40" t="s">
        <v>249</v>
      </c>
      <c r="C90" s="28">
        <v>8</v>
      </c>
      <c r="D90" s="147" t="s">
        <v>250</v>
      </c>
      <c r="E90" s="27">
        <v>350</v>
      </c>
      <c r="F90" s="27">
        <f t="shared" si="6"/>
        <v>413</v>
      </c>
      <c r="G90" s="43">
        <f t="shared" si="7"/>
        <v>3304</v>
      </c>
      <c r="H90" s="35"/>
    </row>
    <row r="91" spans="2:8" s="4" customFormat="1" ht="18.600000000000001" customHeight="1" x14ac:dyDescent="0.3">
      <c r="B91" s="40" t="s">
        <v>251</v>
      </c>
      <c r="C91" s="28">
        <v>0.63</v>
      </c>
      <c r="D91" s="147" t="s">
        <v>34</v>
      </c>
      <c r="E91" s="27">
        <v>9381</v>
      </c>
      <c r="F91" s="27">
        <f t="shared" si="6"/>
        <v>11069.58</v>
      </c>
      <c r="G91" s="43">
        <f t="shared" si="7"/>
        <v>6973.8353999999999</v>
      </c>
      <c r="H91" s="35"/>
    </row>
    <row r="92" spans="2:8" s="4" customFormat="1" ht="18.600000000000001" customHeight="1" x14ac:dyDescent="0.3">
      <c r="B92" s="40" t="s">
        <v>252</v>
      </c>
      <c r="C92" s="28">
        <v>0.63</v>
      </c>
      <c r="D92" s="147" t="s">
        <v>150</v>
      </c>
      <c r="E92" s="27">
        <v>9381</v>
      </c>
      <c r="F92" s="27">
        <f t="shared" si="6"/>
        <v>11069.58</v>
      </c>
      <c r="G92" s="43">
        <f t="shared" si="7"/>
        <v>6973.8353999999999</v>
      </c>
      <c r="H92" s="35"/>
    </row>
    <row r="93" spans="2:8" s="4" customFormat="1" ht="18.600000000000001" customHeight="1" x14ac:dyDescent="0.3">
      <c r="B93" s="40" t="s">
        <v>253</v>
      </c>
      <c r="C93" s="28">
        <f>11.2*0.2</f>
        <v>2.2399999999999998</v>
      </c>
      <c r="D93" s="147" t="s">
        <v>150</v>
      </c>
      <c r="E93" s="27">
        <v>9381</v>
      </c>
      <c r="F93" s="27">
        <f t="shared" si="6"/>
        <v>11069.58</v>
      </c>
      <c r="G93" s="43">
        <f t="shared" si="7"/>
        <v>24795.859199999999</v>
      </c>
      <c r="H93" s="35"/>
    </row>
    <row r="94" spans="2:8" s="4" customFormat="1" ht="18.600000000000001" customHeight="1" x14ac:dyDescent="0.3">
      <c r="B94" s="40" t="s">
        <v>254</v>
      </c>
      <c r="C94" s="28">
        <v>11.2</v>
      </c>
      <c r="D94" s="147" t="s">
        <v>255</v>
      </c>
      <c r="E94" s="27">
        <v>375.66</v>
      </c>
      <c r="F94" s="27">
        <f t="shared" si="6"/>
        <v>443.27879999999999</v>
      </c>
      <c r="G94" s="43">
        <f t="shared" si="7"/>
        <v>4964.7225599999992</v>
      </c>
      <c r="H94" s="35"/>
    </row>
    <row r="95" spans="2:8" s="4" customFormat="1" ht="18.600000000000001" customHeight="1" x14ac:dyDescent="0.3">
      <c r="B95" s="40" t="s">
        <v>256</v>
      </c>
      <c r="C95" s="28">
        <v>2</v>
      </c>
      <c r="D95" s="147" t="s">
        <v>257</v>
      </c>
      <c r="E95" s="27">
        <v>1500</v>
      </c>
      <c r="F95" s="27">
        <f t="shared" si="6"/>
        <v>1770</v>
      </c>
      <c r="G95" s="43">
        <f t="shared" si="7"/>
        <v>3540</v>
      </c>
      <c r="H95" s="35"/>
    </row>
    <row r="96" spans="2:8" s="4" customFormat="1" ht="18.600000000000001" customHeight="1" x14ac:dyDescent="0.3">
      <c r="B96" s="40" t="s">
        <v>258</v>
      </c>
      <c r="C96" s="28">
        <v>1</v>
      </c>
      <c r="D96" s="147" t="s">
        <v>257</v>
      </c>
      <c r="E96" s="27">
        <v>6000</v>
      </c>
      <c r="F96" s="27">
        <f t="shared" si="6"/>
        <v>7080</v>
      </c>
      <c r="G96" s="43">
        <f t="shared" si="7"/>
        <v>7080</v>
      </c>
      <c r="H96" s="35"/>
    </row>
    <row r="97" spans="2:11" s="4" customFormat="1" ht="18.600000000000001" customHeight="1" x14ac:dyDescent="0.3">
      <c r="B97" s="40" t="s">
        <v>259</v>
      </c>
      <c r="C97" s="28">
        <v>1</v>
      </c>
      <c r="D97" s="147" t="s">
        <v>257</v>
      </c>
      <c r="E97" s="27">
        <v>7500</v>
      </c>
      <c r="F97" s="27">
        <f t="shared" si="6"/>
        <v>8850</v>
      </c>
      <c r="G97" s="43">
        <f t="shared" si="7"/>
        <v>8850</v>
      </c>
      <c r="H97" s="35"/>
    </row>
    <row r="98" spans="2:11" s="4" customFormat="1" ht="18.600000000000001" customHeight="1" x14ac:dyDescent="0.3">
      <c r="B98" s="40" t="s">
        <v>260</v>
      </c>
      <c r="C98" s="28">
        <v>1</v>
      </c>
      <c r="D98" s="147" t="s">
        <v>261</v>
      </c>
      <c r="E98" s="27">
        <v>1350</v>
      </c>
      <c r="F98" s="27">
        <f t="shared" si="6"/>
        <v>1593</v>
      </c>
      <c r="G98" s="43">
        <f t="shared" si="7"/>
        <v>1593</v>
      </c>
      <c r="H98" s="35"/>
    </row>
    <row r="99" spans="2:11" s="4" customFormat="1" ht="18.600000000000001" customHeight="1" x14ac:dyDescent="0.3">
      <c r="B99" s="40" t="s">
        <v>262</v>
      </c>
      <c r="C99" s="28">
        <v>1</v>
      </c>
      <c r="D99" s="147" t="s">
        <v>261</v>
      </c>
      <c r="E99" s="27">
        <v>2500</v>
      </c>
      <c r="F99" s="27">
        <f t="shared" si="6"/>
        <v>2950</v>
      </c>
      <c r="G99" s="43">
        <f t="shared" si="7"/>
        <v>2950</v>
      </c>
      <c r="H99" s="35"/>
    </row>
    <row r="100" spans="2:11" s="4" customFormat="1" ht="18.600000000000001" customHeight="1" x14ac:dyDescent="0.3">
      <c r="B100" s="23"/>
      <c r="C100" s="34"/>
      <c r="D100" s="34"/>
      <c r="E100" s="28"/>
      <c r="F100" s="28"/>
      <c r="G100" s="34"/>
      <c r="H100" s="35"/>
    </row>
    <row r="101" spans="2:11" s="4" customFormat="1" ht="18.600000000000001" customHeight="1" x14ac:dyDescent="0.3">
      <c r="B101" s="140" t="s">
        <v>62</v>
      </c>
      <c r="C101" s="34"/>
      <c r="D101" s="34"/>
      <c r="E101" s="28"/>
      <c r="F101" s="28"/>
      <c r="G101" s="34"/>
      <c r="H101" s="35"/>
    </row>
    <row r="102" spans="2:11" s="4" customFormat="1" ht="18.600000000000001" customHeight="1" x14ac:dyDescent="0.3">
      <c r="B102" s="141" t="s">
        <v>263</v>
      </c>
      <c r="C102" s="34">
        <v>1</v>
      </c>
      <c r="D102" s="145" t="s">
        <v>257</v>
      </c>
      <c r="E102" s="27">
        <v>250000</v>
      </c>
      <c r="F102" s="27">
        <f>E102*1.18</f>
        <v>295000</v>
      </c>
      <c r="G102" s="28">
        <f>F102*C102</f>
        <v>295000</v>
      </c>
      <c r="H102" s="35"/>
    </row>
    <row r="103" spans="2:11" s="4" customFormat="1" ht="18.600000000000001" customHeight="1" x14ac:dyDescent="0.3">
      <c r="B103" s="23"/>
      <c r="C103" s="34"/>
      <c r="D103" s="34"/>
      <c r="E103" s="28"/>
      <c r="F103" s="28"/>
      <c r="G103" s="34"/>
      <c r="H103" s="35"/>
    </row>
    <row r="104" spans="2:11" s="4" customFormat="1" ht="18.600000000000001" customHeight="1" x14ac:dyDescent="0.3">
      <c r="B104" s="23"/>
      <c r="C104" s="34"/>
      <c r="D104" s="34"/>
      <c r="E104" s="28"/>
      <c r="F104" s="28"/>
      <c r="G104" s="34"/>
      <c r="H104" s="35"/>
    </row>
    <row r="105" spans="2:11" s="4" customFormat="1" ht="18.600000000000001" customHeight="1" x14ac:dyDescent="0.3">
      <c r="B105" s="23"/>
      <c r="C105" s="34"/>
      <c r="D105" s="34"/>
      <c r="E105" s="28"/>
      <c r="F105" s="28"/>
      <c r="G105" s="34"/>
      <c r="H105" s="35"/>
    </row>
    <row r="106" spans="2:11" s="4" customFormat="1" ht="18.600000000000001" customHeight="1" x14ac:dyDescent="0.3">
      <c r="B106" s="23"/>
      <c r="C106" s="34"/>
      <c r="D106" s="34"/>
      <c r="E106" s="28"/>
      <c r="F106" s="28"/>
      <c r="G106" s="34"/>
      <c r="H106" s="35"/>
    </row>
    <row r="107" spans="2:11" s="4" customFormat="1" ht="18.600000000000001" customHeight="1" x14ac:dyDescent="0.3">
      <c r="B107" s="23"/>
      <c r="C107" s="34"/>
      <c r="D107" s="34"/>
      <c r="E107" s="28"/>
      <c r="F107" s="28"/>
      <c r="G107" s="34"/>
      <c r="H107" s="35"/>
    </row>
    <row r="108" spans="2:11" s="4" customFormat="1" ht="18.600000000000001" customHeight="1" x14ac:dyDescent="0.3">
      <c r="B108" s="40"/>
      <c r="C108" s="28"/>
      <c r="D108" s="28"/>
      <c r="E108" s="28"/>
      <c r="F108" s="28"/>
      <c r="G108" s="43"/>
      <c r="H108" s="35"/>
    </row>
    <row r="109" spans="2:11" s="4" customFormat="1" ht="18.600000000000001" customHeight="1" x14ac:dyDescent="0.3">
      <c r="B109" s="23"/>
      <c r="C109" s="34"/>
      <c r="D109" s="34"/>
      <c r="E109" s="28"/>
      <c r="F109" s="28"/>
      <c r="G109" s="34"/>
      <c r="H109" s="35"/>
    </row>
    <row r="110" spans="2:11" s="4" customFormat="1" ht="18.600000000000001" customHeight="1" x14ac:dyDescent="0.2"/>
    <row r="111" spans="2:11" s="5" customFormat="1" ht="15" x14ac:dyDescent="0.25">
      <c r="B111" s="44"/>
      <c r="D111" s="45"/>
      <c r="K111" s="46"/>
    </row>
    <row r="112" spans="2:11" s="5" customFormat="1" ht="15.6" x14ac:dyDescent="0.25">
      <c r="B112" s="44"/>
      <c r="C112" s="47" t="s">
        <v>264</v>
      </c>
      <c r="D112" s="45"/>
      <c r="K112" s="46"/>
    </row>
    <row r="113" spans="2:11" s="5" customFormat="1" ht="15.6" x14ac:dyDescent="0.25">
      <c r="B113" s="44"/>
      <c r="C113" s="47" t="s">
        <v>265</v>
      </c>
      <c r="D113" s="45"/>
      <c r="K113" s="46"/>
    </row>
    <row r="114" spans="2:11" s="5" customFormat="1" ht="15" x14ac:dyDescent="0.25">
      <c r="B114" s="44"/>
      <c r="D114" s="45"/>
      <c r="K114" s="46"/>
    </row>
    <row r="115" spans="2:11" s="5" customFormat="1" ht="27.75" customHeight="1" x14ac:dyDescent="0.25">
      <c r="B115" s="44"/>
      <c r="C115" s="225" t="s">
        <v>266</v>
      </c>
      <c r="D115" s="225"/>
      <c r="E115" s="225"/>
      <c r="F115" s="225"/>
      <c r="G115" s="225"/>
      <c r="H115" s="225"/>
      <c r="K115" s="46"/>
    </row>
    <row r="116" spans="2:11" s="5" customFormat="1" ht="15" x14ac:dyDescent="0.25">
      <c r="B116" s="44"/>
      <c r="C116" s="225"/>
      <c r="D116" s="225"/>
      <c r="E116" s="225"/>
      <c r="F116" s="225"/>
      <c r="G116" s="225"/>
      <c r="H116" s="225"/>
      <c r="K116" s="46"/>
    </row>
    <row r="117" spans="2:11" s="5" customFormat="1" ht="15.6" x14ac:dyDescent="0.3">
      <c r="B117" s="44"/>
      <c r="C117" s="188" t="s">
        <v>169</v>
      </c>
      <c r="D117" s="188"/>
      <c r="E117" s="188"/>
      <c r="F117" s="188"/>
      <c r="G117" s="188"/>
      <c r="H117" s="188"/>
      <c r="K117" s="46"/>
    </row>
    <row r="118" spans="2:11" s="6" customFormat="1" ht="15.6" x14ac:dyDescent="0.25"/>
    <row r="119" spans="2:11" s="6" customFormat="1" ht="15.6" x14ac:dyDescent="0.25">
      <c r="E119" s="49"/>
      <c r="F119" s="50"/>
      <c r="G119" s="50"/>
      <c r="H119" s="50"/>
    </row>
    <row r="120" spans="2:11" s="5" customFormat="1" ht="15" x14ac:dyDescent="0.25"/>
    <row r="121" spans="2:11" s="5" customFormat="1" ht="15" x14ac:dyDescent="0.25"/>
    <row r="122" spans="2:11" s="5" customFormat="1" ht="15" x14ac:dyDescent="0.25"/>
    <row r="123" spans="2:11" s="5" customFormat="1" ht="15" x14ac:dyDescent="0.25"/>
    <row r="124" spans="2:11" s="5" customFormat="1" ht="15" hidden="1" x14ac:dyDescent="0.25">
      <c r="C124" s="51"/>
      <c r="D124" s="52"/>
    </row>
    <row r="125" spans="2:11" s="5" customFormat="1" ht="15" hidden="1" x14ac:dyDescent="0.25">
      <c r="C125" s="53">
        <v>13</v>
      </c>
      <c r="D125" s="54" t="s">
        <v>225</v>
      </c>
    </row>
    <row r="126" spans="2:11" s="5" customFormat="1" ht="15" hidden="1" x14ac:dyDescent="0.25">
      <c r="C126" s="53">
        <v>3.1199999999999999E-2</v>
      </c>
      <c r="D126" s="54" t="s">
        <v>150</v>
      </c>
    </row>
    <row r="127" spans="2:11" s="5" customFormat="1" ht="15" hidden="1" x14ac:dyDescent="0.25">
      <c r="C127" s="53">
        <v>0.02</v>
      </c>
      <c r="D127" s="54" t="s">
        <v>150</v>
      </c>
    </row>
    <row r="128" spans="2:11" s="5" customFormat="1" ht="15" hidden="1" x14ac:dyDescent="0.25">
      <c r="C128" s="53">
        <f>0.0296*2.1</f>
        <v>6.2160000000000007E-2</v>
      </c>
      <c r="D128" s="54" t="s">
        <v>229</v>
      </c>
    </row>
    <row r="129" spans="3:4" s="5" customFormat="1" ht="15" hidden="1" x14ac:dyDescent="0.25">
      <c r="C129" s="53">
        <v>0.04</v>
      </c>
      <c r="D129" s="54" t="s">
        <v>225</v>
      </c>
    </row>
    <row r="130" spans="3:4" s="5" customFormat="1" ht="15" hidden="1" x14ac:dyDescent="0.25">
      <c r="C130" s="53">
        <v>13</v>
      </c>
      <c r="D130" s="54" t="s">
        <v>225</v>
      </c>
    </row>
    <row r="131" spans="3:4" hidden="1" x14ac:dyDescent="0.25">
      <c r="C131" s="53">
        <v>13</v>
      </c>
      <c r="D131" s="54" t="s">
        <v>225</v>
      </c>
    </row>
    <row r="132" spans="3:4" hidden="1" x14ac:dyDescent="0.25">
      <c r="C132" s="53">
        <v>13</v>
      </c>
      <c r="D132" s="54" t="s">
        <v>225</v>
      </c>
    </row>
    <row r="133" spans="3:4" hidden="1" x14ac:dyDescent="0.25"/>
    <row r="140" spans="3:4" ht="10.5" customHeight="1" x14ac:dyDescent="0.25"/>
    <row r="141" spans="3:4" ht="16.5" customHeight="1" x14ac:dyDescent="0.25"/>
    <row r="142" spans="3:4" ht="9.75" customHeight="1" x14ac:dyDescent="0.25"/>
    <row r="146" ht="12.75" customHeight="1" x14ac:dyDescent="0.25"/>
    <row r="156" ht="12.75" customHeight="1" x14ac:dyDescent="0.25"/>
    <row r="163" ht="13.5" customHeight="1" x14ac:dyDescent="0.25"/>
  </sheetData>
  <mergeCells count="14">
    <mergeCell ref="B3:H3"/>
    <mergeCell ref="B4:H4"/>
    <mergeCell ref="B5:H5"/>
    <mergeCell ref="B11:H11"/>
    <mergeCell ref="B12:H12"/>
    <mergeCell ref="B14:H14"/>
    <mergeCell ref="B15:H15"/>
    <mergeCell ref="B16:H16"/>
    <mergeCell ref="B17:H17"/>
    <mergeCell ref="C117:H117"/>
    <mergeCell ref="B18:B20"/>
    <mergeCell ref="C18:E20"/>
    <mergeCell ref="F18:H20"/>
    <mergeCell ref="C115:H116"/>
  </mergeCells>
  <pageMargins left="1.5" right="0.25" top="2" bottom="0.25" header="0.3" footer="0.3"/>
  <pageSetup scale="50" orientation="landscape" horizontalDpi="360" verticalDpi="360" r:id="rId1"/>
  <rowBreaks count="2" manualBreakCount="2">
    <brk id="55" max="8" man="1"/>
    <brk id="84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9"/>
  </sheetPr>
  <dimension ref="B2:P161"/>
  <sheetViews>
    <sheetView view="pageBreakPreview" zoomScale="70" zoomScaleNormal="60" zoomScalePageLayoutView="50" workbookViewId="0">
      <selection activeCell="B10" sqref="B10:H10"/>
    </sheetView>
  </sheetViews>
  <sheetFormatPr baseColWidth="10" defaultColWidth="9.109375" defaultRowHeight="13.2" x14ac:dyDescent="0.25"/>
  <cols>
    <col min="1" max="1" width="9.109375" style="7"/>
    <col min="2" max="2" width="80.6640625" style="7" customWidth="1"/>
    <col min="3" max="3" width="26.33203125" style="7" customWidth="1"/>
    <col min="4" max="4" width="14.88671875" style="7" customWidth="1"/>
    <col min="5" max="5" width="16.88671875" style="7"/>
    <col min="6" max="6" width="20.33203125" style="7" customWidth="1"/>
    <col min="7" max="7" width="17.33203125" style="7" customWidth="1"/>
    <col min="8" max="8" width="16.77734375" style="7" customWidth="1"/>
    <col min="9" max="9" width="10.109375" style="7" customWidth="1"/>
    <col min="10" max="10" width="12.6640625" style="7"/>
    <col min="11" max="11" width="15.6640625" style="7" customWidth="1"/>
    <col min="12" max="12" width="11.6640625" style="7"/>
    <col min="13" max="16384" width="9.109375" style="7"/>
  </cols>
  <sheetData>
    <row r="2" spans="2:16" s="1" customFormat="1" x14ac:dyDescent="0.25">
      <c r="E2" s="8"/>
      <c r="F2" s="8"/>
      <c r="G2" s="8"/>
      <c r="H2" s="9"/>
    </row>
    <row r="3" spans="2:16" s="2" customFormat="1" ht="20.399999999999999" x14ac:dyDescent="0.25">
      <c r="B3" s="226"/>
      <c r="C3" s="226"/>
      <c r="D3" s="226"/>
      <c r="E3" s="226"/>
      <c r="F3" s="226"/>
      <c r="G3" s="226"/>
      <c r="H3" s="226"/>
    </row>
    <row r="4" spans="2:16" s="2" customFormat="1" ht="15.6" x14ac:dyDescent="0.25">
      <c r="B4" s="227"/>
      <c r="C4" s="227"/>
      <c r="D4" s="227"/>
      <c r="E4" s="227"/>
      <c r="F4" s="227"/>
      <c r="G4" s="227"/>
      <c r="H4" s="227"/>
    </row>
    <row r="5" spans="2:16" s="2" customFormat="1" ht="15.6" x14ac:dyDescent="0.3">
      <c r="B5" s="228"/>
      <c r="C5" s="228"/>
      <c r="D5" s="228"/>
      <c r="E5" s="228"/>
      <c r="F5" s="228"/>
      <c r="G5" s="228"/>
      <c r="H5" s="228"/>
    </row>
    <row r="6" spans="2:16" s="2" customFormat="1" ht="17.399999999999999" x14ac:dyDescent="0.3">
      <c r="B6" s="228"/>
      <c r="C6" s="228"/>
      <c r="D6" s="228"/>
      <c r="E6" s="228"/>
      <c r="F6" s="228"/>
      <c r="G6" s="228"/>
      <c r="H6" s="228"/>
      <c r="I6" s="11"/>
      <c r="J6" s="11"/>
      <c r="K6" s="11"/>
      <c r="L6" s="12"/>
      <c r="M6" s="12"/>
      <c r="N6" s="12"/>
      <c r="O6" s="12"/>
      <c r="P6" s="12"/>
    </row>
    <row r="7" spans="2:16" s="2" customFormat="1" ht="17.399999999999999" x14ac:dyDescent="0.25">
      <c r="B7" s="229"/>
      <c r="C7" s="229"/>
      <c r="D7" s="229"/>
      <c r="E7" s="229"/>
      <c r="F7" s="229"/>
      <c r="G7" s="229"/>
      <c r="H7" s="229"/>
      <c r="I7" s="11"/>
      <c r="J7" s="11"/>
      <c r="K7" s="11"/>
      <c r="L7" s="12"/>
      <c r="M7" s="12"/>
      <c r="N7" s="12"/>
      <c r="O7" s="12"/>
      <c r="P7" s="12"/>
    </row>
    <row r="8" spans="2:16" s="2" customFormat="1" ht="17.399999999999999" x14ac:dyDescent="0.25">
      <c r="B8" s="13"/>
      <c r="C8" s="13"/>
      <c r="D8" s="13"/>
      <c r="E8" s="13"/>
      <c r="F8" s="13"/>
      <c r="G8" s="13"/>
      <c r="H8" s="13"/>
      <c r="I8" s="11"/>
      <c r="J8" s="11"/>
      <c r="K8" s="11"/>
      <c r="L8" s="12"/>
      <c r="M8" s="12"/>
      <c r="N8" s="12"/>
      <c r="O8" s="12"/>
      <c r="P8" s="12"/>
    </row>
    <row r="9" spans="2:16" s="2" customFormat="1" ht="17.399999999999999" x14ac:dyDescent="0.25">
      <c r="B9" s="229"/>
      <c r="C9" s="229"/>
      <c r="D9" s="229"/>
      <c r="E9" s="229"/>
      <c r="F9" s="229"/>
      <c r="G9" s="229"/>
      <c r="H9" s="229"/>
      <c r="I9" s="11"/>
      <c r="J9" s="11"/>
      <c r="K9" s="11"/>
      <c r="L9" s="12"/>
      <c r="M9" s="12"/>
      <c r="N9" s="12"/>
      <c r="O9" s="12"/>
      <c r="P9" s="12"/>
    </row>
    <row r="10" spans="2:16" s="2" customFormat="1" ht="18" x14ac:dyDescent="0.25">
      <c r="B10" s="230" t="s">
        <v>0</v>
      </c>
      <c r="C10" s="230"/>
      <c r="D10" s="230"/>
      <c r="E10" s="230"/>
      <c r="F10" s="230"/>
      <c r="G10" s="230"/>
      <c r="H10" s="230"/>
      <c r="I10" s="11"/>
      <c r="J10" s="11"/>
      <c r="K10" s="11"/>
      <c r="L10" s="12"/>
      <c r="M10" s="12"/>
      <c r="N10" s="12"/>
      <c r="O10" s="12"/>
      <c r="P10" s="12"/>
    </row>
    <row r="11" spans="2:16" s="2" customFormat="1" ht="18" x14ac:dyDescent="0.25">
      <c r="C11" s="14"/>
      <c r="D11" s="14"/>
      <c r="E11" s="14"/>
      <c r="F11" s="14"/>
      <c r="G11" s="14"/>
      <c r="H11" s="15" t="s">
        <v>267</v>
      </c>
      <c r="I11" s="16"/>
      <c r="J11" s="11"/>
      <c r="K11" s="11"/>
      <c r="L11" s="12"/>
      <c r="M11" s="12"/>
      <c r="N11" s="12"/>
      <c r="O11" s="12"/>
      <c r="P11" s="12"/>
    </row>
    <row r="12" spans="2:16" s="2" customFormat="1" ht="40.5" customHeight="1" x14ac:dyDescent="0.25">
      <c r="B12" s="192" t="s">
        <v>1</v>
      </c>
      <c r="C12" s="193"/>
      <c r="D12" s="193"/>
      <c r="E12" s="193"/>
      <c r="F12" s="193"/>
      <c r="G12" s="193"/>
      <c r="H12" s="194"/>
      <c r="I12" s="16"/>
      <c r="J12" s="16"/>
      <c r="K12" s="16"/>
      <c r="L12" s="16"/>
      <c r="M12" s="16"/>
      <c r="N12" s="16"/>
      <c r="O12" s="16"/>
      <c r="P12" s="16"/>
    </row>
    <row r="13" spans="2:16" s="2" customFormat="1" ht="18" x14ac:dyDescent="0.25">
      <c r="B13" s="201" t="s">
        <v>268</v>
      </c>
      <c r="C13" s="202"/>
      <c r="D13" s="202"/>
      <c r="E13" s="202"/>
      <c r="F13" s="202"/>
      <c r="G13" s="202"/>
      <c r="H13" s="203"/>
      <c r="I13" s="16"/>
      <c r="J13" s="17"/>
      <c r="K13" s="17"/>
      <c r="L13" s="18"/>
      <c r="M13" s="18"/>
      <c r="N13" s="18"/>
      <c r="O13" s="18"/>
      <c r="P13" s="18"/>
    </row>
    <row r="14" spans="2:16" s="2" customFormat="1" ht="18" x14ac:dyDescent="0.25">
      <c r="B14" s="195" t="s">
        <v>172</v>
      </c>
      <c r="C14" s="196"/>
      <c r="D14" s="196"/>
      <c r="E14" s="196"/>
      <c r="F14" s="196"/>
      <c r="G14" s="196"/>
      <c r="H14" s="197"/>
      <c r="I14" s="16"/>
      <c r="J14" s="18"/>
      <c r="K14" s="18"/>
      <c r="L14" s="18"/>
      <c r="M14" s="18"/>
      <c r="N14" s="18"/>
      <c r="O14" s="18"/>
      <c r="P14" s="18"/>
    </row>
    <row r="15" spans="2:16" s="2" customFormat="1" ht="18" x14ac:dyDescent="0.25">
      <c r="B15" s="198" t="s">
        <v>173</v>
      </c>
      <c r="C15" s="199"/>
      <c r="D15" s="199"/>
      <c r="E15" s="199"/>
      <c r="F15" s="199"/>
      <c r="G15" s="199"/>
      <c r="H15" s="200"/>
      <c r="I15" s="16"/>
      <c r="J15" s="16"/>
      <c r="K15" s="18"/>
      <c r="L15" s="18"/>
      <c r="M15" s="18"/>
      <c r="N15" s="18"/>
      <c r="O15" s="18"/>
      <c r="P15" s="18"/>
    </row>
    <row r="16" spans="2:16" s="3" customFormat="1" ht="18.600000000000001" customHeight="1" x14ac:dyDescent="0.2">
      <c r="B16" s="204" t="s">
        <v>3</v>
      </c>
      <c r="C16" s="207" t="s">
        <v>174</v>
      </c>
      <c r="D16" s="208"/>
      <c r="E16" s="209"/>
      <c r="F16" s="216" t="s">
        <v>103</v>
      </c>
      <c r="G16" s="217"/>
      <c r="H16" s="218"/>
      <c r="I16" s="19"/>
      <c r="J16" s="16"/>
    </row>
    <row r="17" spans="2:10" s="3" customFormat="1" ht="18.600000000000001" customHeight="1" x14ac:dyDescent="0.2">
      <c r="B17" s="205"/>
      <c r="C17" s="210"/>
      <c r="D17" s="211"/>
      <c r="E17" s="212"/>
      <c r="F17" s="219"/>
      <c r="G17" s="220"/>
      <c r="H17" s="221"/>
      <c r="I17" s="19"/>
      <c r="J17" s="16"/>
    </row>
    <row r="18" spans="2:10" s="3" customFormat="1" ht="18.600000000000001" customHeight="1" x14ac:dyDescent="0.2">
      <c r="B18" s="206"/>
      <c r="C18" s="213"/>
      <c r="D18" s="214"/>
      <c r="E18" s="215"/>
      <c r="F18" s="222"/>
      <c r="G18" s="223"/>
      <c r="H18" s="224"/>
      <c r="I18" s="19"/>
      <c r="J18" s="16"/>
    </row>
    <row r="19" spans="2:10" s="3" customFormat="1" ht="18.600000000000001" customHeight="1" x14ac:dyDescent="0.2"/>
    <row r="20" spans="2:10" s="4" customFormat="1" ht="33" customHeight="1" x14ac:dyDescent="0.2">
      <c r="B20" s="20" t="s">
        <v>175</v>
      </c>
      <c r="C20" s="20" t="s">
        <v>176</v>
      </c>
      <c r="D20" s="20" t="s">
        <v>15</v>
      </c>
      <c r="E20" s="20" t="s">
        <v>177</v>
      </c>
      <c r="F20" s="21" t="s">
        <v>178</v>
      </c>
      <c r="G20" s="20" t="s">
        <v>179</v>
      </c>
      <c r="H20" s="20"/>
    </row>
    <row r="21" spans="2:10" s="4" customFormat="1" ht="18.600000000000001" customHeight="1" x14ac:dyDescent="0.2">
      <c r="B21" s="140" t="s">
        <v>180</v>
      </c>
      <c r="C21" s="23"/>
      <c r="D21" s="23"/>
      <c r="E21" s="23"/>
      <c r="F21" s="23"/>
      <c r="G21" s="24"/>
      <c r="H21" s="25">
        <f>SUM(G22:G29)</f>
        <v>1834.7312999999999</v>
      </c>
    </row>
    <row r="22" spans="2:10" s="4" customFormat="1" ht="18.600000000000001" customHeight="1" x14ac:dyDescent="0.3">
      <c r="B22" s="141" t="s">
        <v>181</v>
      </c>
      <c r="C22" s="26">
        <v>0.33</v>
      </c>
      <c r="D22" s="142" t="s">
        <v>182</v>
      </c>
      <c r="E22" s="27">
        <v>160.32</v>
      </c>
      <c r="F22" s="27">
        <v>189.18</v>
      </c>
      <c r="G22" s="27">
        <f>+F22*C22</f>
        <v>62.429400000000008</v>
      </c>
      <c r="H22" s="26"/>
    </row>
    <row r="23" spans="2:10" s="4" customFormat="1" ht="18.600000000000001" customHeight="1" x14ac:dyDescent="0.3">
      <c r="B23" s="141" t="s">
        <v>183</v>
      </c>
      <c r="C23" s="26">
        <v>0.33</v>
      </c>
      <c r="D23" s="142" t="s">
        <v>182</v>
      </c>
      <c r="E23" s="27">
        <v>336.13</v>
      </c>
      <c r="F23" s="27">
        <v>396.63</v>
      </c>
      <c r="G23" s="27">
        <f t="shared" ref="G23:G36" si="0">+F23*C23</f>
        <v>130.8879</v>
      </c>
      <c r="H23" s="26"/>
    </row>
    <row r="24" spans="2:10" s="4" customFormat="1" ht="18.600000000000001" customHeight="1" x14ac:dyDescent="0.3">
      <c r="B24" s="141" t="s">
        <v>184</v>
      </c>
      <c r="C24" s="26">
        <v>0.67</v>
      </c>
      <c r="D24" s="142" t="s">
        <v>34</v>
      </c>
      <c r="E24" s="27">
        <v>293.27</v>
      </c>
      <c r="F24" s="27">
        <v>346.06</v>
      </c>
      <c r="G24" s="27">
        <f t="shared" si="0"/>
        <v>231.86020000000002</v>
      </c>
      <c r="H24" s="26"/>
    </row>
    <row r="25" spans="2:10" s="4" customFormat="1" ht="18.600000000000001" customHeight="1" x14ac:dyDescent="0.3">
      <c r="B25" s="141" t="s">
        <v>185</v>
      </c>
      <c r="C25" s="26">
        <v>0.59199999999999997</v>
      </c>
      <c r="D25" s="142" t="s">
        <v>34</v>
      </c>
      <c r="E25" s="27">
        <v>1395</v>
      </c>
      <c r="F25" s="27">
        <v>1646.1</v>
      </c>
      <c r="G25" s="27">
        <f t="shared" si="0"/>
        <v>974.49119999999994</v>
      </c>
      <c r="H25" s="26"/>
    </row>
    <row r="26" spans="2:10" s="4" customFormat="1" ht="18.600000000000001" customHeight="1" x14ac:dyDescent="0.3">
      <c r="B26" s="141" t="s">
        <v>186</v>
      </c>
      <c r="C26" s="26">
        <v>15.22</v>
      </c>
      <c r="D26" s="142" t="s">
        <v>187</v>
      </c>
      <c r="E26" s="27">
        <v>0.52</v>
      </c>
      <c r="F26" s="27">
        <v>0.61</v>
      </c>
      <c r="G26" s="27">
        <f t="shared" si="0"/>
        <v>9.2842000000000002</v>
      </c>
      <c r="H26" s="26"/>
    </row>
    <row r="27" spans="2:10" s="4" customFormat="1" ht="18.600000000000001" customHeight="1" x14ac:dyDescent="0.3">
      <c r="B27" s="141" t="s">
        <v>188</v>
      </c>
      <c r="C27" s="26">
        <v>0.05</v>
      </c>
      <c r="D27" s="142" t="s">
        <v>189</v>
      </c>
      <c r="E27" s="27">
        <v>1742.94</v>
      </c>
      <c r="F27" s="27">
        <v>1742.94</v>
      </c>
      <c r="G27" s="27">
        <f t="shared" si="0"/>
        <v>87.147000000000006</v>
      </c>
      <c r="H27" s="26"/>
    </row>
    <row r="28" spans="2:10" s="4" customFormat="1" ht="18.600000000000001" customHeight="1" x14ac:dyDescent="0.3">
      <c r="B28" s="141" t="s">
        <v>190</v>
      </c>
      <c r="C28" s="26">
        <v>0.05</v>
      </c>
      <c r="D28" s="142" t="s">
        <v>189</v>
      </c>
      <c r="E28" s="27">
        <v>915.22</v>
      </c>
      <c r="F28" s="27">
        <v>915.22</v>
      </c>
      <c r="G28" s="27">
        <f t="shared" si="0"/>
        <v>45.761000000000003</v>
      </c>
      <c r="H28" s="26"/>
    </row>
    <row r="29" spans="2:10" s="4" customFormat="1" ht="18.600000000000001" customHeight="1" x14ac:dyDescent="0.3">
      <c r="B29" s="141" t="s">
        <v>191</v>
      </c>
      <c r="C29" s="26">
        <v>0.32</v>
      </c>
      <c r="D29" s="142" t="s">
        <v>189</v>
      </c>
      <c r="E29" s="27">
        <v>915.22</v>
      </c>
      <c r="F29" s="27">
        <v>915.22</v>
      </c>
      <c r="G29" s="27">
        <f t="shared" si="0"/>
        <v>292.87040000000002</v>
      </c>
      <c r="H29" s="26"/>
    </row>
    <row r="30" spans="2:10" s="4" customFormat="1" ht="18.600000000000001" customHeight="1" x14ac:dyDescent="0.3">
      <c r="B30" s="23"/>
      <c r="C30" s="26"/>
      <c r="D30" s="26"/>
      <c r="E30" s="27"/>
      <c r="F30" s="28"/>
      <c r="G30" s="28"/>
      <c r="H30" s="26"/>
    </row>
    <row r="31" spans="2:10" s="4" customFormat="1" ht="18.600000000000001" customHeight="1" x14ac:dyDescent="0.3">
      <c r="B31" s="23"/>
      <c r="C31" s="26"/>
      <c r="D31" s="26"/>
      <c r="E31" s="28"/>
      <c r="F31" s="28"/>
      <c r="G31" s="28"/>
      <c r="H31" s="26"/>
    </row>
    <row r="32" spans="2:10" s="4" customFormat="1" ht="18.600000000000001" customHeight="1" x14ac:dyDescent="0.3">
      <c r="B32" s="140" t="s">
        <v>192</v>
      </c>
      <c r="C32" s="26"/>
      <c r="D32" s="26"/>
      <c r="E32" s="28"/>
      <c r="F32" s="28"/>
      <c r="G32" s="28"/>
      <c r="H32" s="29">
        <f>SUM(G33:G36)</f>
        <v>30359.986155999999</v>
      </c>
    </row>
    <row r="33" spans="2:8" s="4" customFormat="1" ht="18.600000000000001" customHeight="1" x14ac:dyDescent="0.3">
      <c r="B33" s="141" t="s">
        <v>193</v>
      </c>
      <c r="C33" s="26">
        <v>2.4222000000000001</v>
      </c>
      <c r="D33" s="142" t="s">
        <v>194</v>
      </c>
      <c r="E33" s="27">
        <v>3267.33</v>
      </c>
      <c r="F33" s="27">
        <v>3267.33</v>
      </c>
      <c r="G33" s="27">
        <f t="shared" si="0"/>
        <v>7914.1267260000004</v>
      </c>
      <c r="H33" s="26"/>
    </row>
    <row r="34" spans="2:8" s="4" customFormat="1" ht="18.600000000000001" customHeight="1" x14ac:dyDescent="0.3">
      <c r="B34" s="141" t="s">
        <v>195</v>
      </c>
      <c r="C34" s="26">
        <v>2.4222000000000001</v>
      </c>
      <c r="D34" s="142" t="s">
        <v>194</v>
      </c>
      <c r="E34" s="27">
        <v>675.65</v>
      </c>
      <c r="F34" s="27">
        <v>675.65</v>
      </c>
      <c r="G34" s="27">
        <f t="shared" si="0"/>
        <v>1636.55943</v>
      </c>
      <c r="H34" s="26"/>
    </row>
    <row r="35" spans="2:8" s="4" customFormat="1" ht="18.600000000000001" customHeight="1" x14ac:dyDescent="0.3">
      <c r="B35" s="141" t="s">
        <v>196</v>
      </c>
      <c r="C35" s="26">
        <v>10</v>
      </c>
      <c r="D35" s="142" t="s">
        <v>29</v>
      </c>
      <c r="E35" s="27">
        <v>1151.43</v>
      </c>
      <c r="F35" s="27">
        <v>1151.43</v>
      </c>
      <c r="G35" s="27">
        <f t="shared" si="0"/>
        <v>11514.300000000001</v>
      </c>
      <c r="H35" s="26"/>
    </row>
    <row r="36" spans="2:8" s="4" customFormat="1" ht="18.600000000000001" customHeight="1" x14ac:dyDescent="0.3">
      <c r="B36" s="141" t="s">
        <v>197</v>
      </c>
      <c r="C36" s="26">
        <v>1.1000000000000001</v>
      </c>
      <c r="D36" s="142" t="s">
        <v>34</v>
      </c>
      <c r="E36" s="27">
        <v>8450</v>
      </c>
      <c r="F36" s="27">
        <v>8450</v>
      </c>
      <c r="G36" s="27">
        <f t="shared" si="0"/>
        <v>9295</v>
      </c>
      <c r="H36" s="26"/>
    </row>
    <row r="37" spans="2:8" s="4" customFormat="1" ht="18.600000000000001" customHeight="1" x14ac:dyDescent="0.3">
      <c r="B37" s="23"/>
      <c r="C37" s="26"/>
      <c r="D37" s="26"/>
      <c r="E37" s="28"/>
      <c r="F37" s="28"/>
      <c r="G37" s="28"/>
      <c r="H37" s="26"/>
    </row>
    <row r="38" spans="2:8" s="4" customFormat="1" ht="18.600000000000001" customHeight="1" x14ac:dyDescent="0.3">
      <c r="B38" s="23"/>
      <c r="C38" s="26"/>
      <c r="D38" s="26"/>
      <c r="E38" s="28"/>
      <c r="F38" s="28"/>
      <c r="G38" s="28"/>
      <c r="H38" s="26"/>
    </row>
    <row r="39" spans="2:8" s="4" customFormat="1" ht="18.600000000000001" customHeight="1" x14ac:dyDescent="0.3">
      <c r="B39" s="140" t="s">
        <v>198</v>
      </c>
      <c r="C39" s="23"/>
      <c r="D39" s="23"/>
      <c r="E39" s="30"/>
      <c r="F39" s="31">
        <v>10</v>
      </c>
      <c r="G39" s="143" t="s">
        <v>199</v>
      </c>
      <c r="H39" s="32">
        <f>SUM(G45:G53)/F39</f>
        <v>1443.193884</v>
      </c>
    </row>
    <row r="40" spans="2:8" s="4" customFormat="1" ht="18.600000000000001" customHeight="1" x14ac:dyDescent="0.2">
      <c r="B40" s="141" t="s">
        <v>200</v>
      </c>
      <c r="C40" s="23"/>
      <c r="D40" s="23"/>
      <c r="E40" s="30"/>
      <c r="F40" s="30"/>
      <c r="G40" s="30"/>
      <c r="H40" s="23"/>
    </row>
    <row r="41" spans="2:8" s="4" customFormat="1" ht="18.600000000000001" customHeight="1" x14ac:dyDescent="0.3">
      <c r="B41" s="141" t="s">
        <v>201</v>
      </c>
      <c r="C41" s="26"/>
      <c r="D41" s="26"/>
      <c r="E41" s="28"/>
      <c r="F41" s="28"/>
      <c r="G41" s="33"/>
      <c r="H41" s="26"/>
    </row>
    <row r="42" spans="2:8" s="4" customFormat="1" ht="18.600000000000001" customHeight="1" x14ac:dyDescent="0.3">
      <c r="B42" s="141" t="s">
        <v>202</v>
      </c>
      <c r="C42" s="23"/>
      <c r="D42" s="23"/>
      <c r="E42" s="28"/>
      <c r="F42" s="28"/>
      <c r="G42" s="33"/>
      <c r="H42" s="26"/>
    </row>
    <row r="43" spans="2:8" s="4" customFormat="1" ht="18.600000000000001" customHeight="1" x14ac:dyDescent="0.2">
      <c r="B43" s="140" t="s">
        <v>203</v>
      </c>
      <c r="C43" s="23"/>
      <c r="D43" s="23"/>
      <c r="E43" s="30"/>
      <c r="F43" s="30"/>
      <c r="G43" s="33"/>
      <c r="H43" s="23"/>
    </row>
    <row r="44" spans="2:8" s="4" customFormat="1" ht="18.600000000000001" customHeight="1" x14ac:dyDescent="0.2">
      <c r="B44" s="23"/>
      <c r="C44" s="23"/>
      <c r="D44" s="23"/>
      <c r="E44" s="30"/>
      <c r="F44" s="30"/>
      <c r="G44" s="33"/>
      <c r="H44" s="23"/>
    </row>
    <row r="45" spans="2:8" s="4" customFormat="1" ht="18.600000000000001" customHeight="1" x14ac:dyDescent="0.3">
      <c r="B45" s="141" t="s">
        <v>204</v>
      </c>
      <c r="C45" s="34">
        <v>12.1</v>
      </c>
      <c r="D45" s="144" t="s">
        <v>205</v>
      </c>
      <c r="E45" s="27">
        <v>58.47</v>
      </c>
      <c r="F45" s="27">
        <v>10.52</v>
      </c>
      <c r="G45" s="36">
        <f>+F45*C45</f>
        <v>127.29199999999999</v>
      </c>
      <c r="H45" s="35"/>
    </row>
    <row r="46" spans="2:8" s="4" customFormat="1" ht="18.600000000000001" customHeight="1" x14ac:dyDescent="0.3">
      <c r="B46" s="141" t="s">
        <v>206</v>
      </c>
      <c r="C46" s="34">
        <v>5.5</v>
      </c>
      <c r="D46" s="144" t="s">
        <v>207</v>
      </c>
      <c r="E46" s="27">
        <v>36.44</v>
      </c>
      <c r="F46" s="27">
        <v>6.56</v>
      </c>
      <c r="G46" s="36">
        <f t="shared" ref="G46:G52" si="1">+F46*C46</f>
        <v>36.08</v>
      </c>
      <c r="H46" s="35"/>
    </row>
    <row r="47" spans="2:8" s="4" customFormat="1" ht="18.600000000000001" customHeight="1" x14ac:dyDescent="0.3">
      <c r="B47" s="141" t="s">
        <v>208</v>
      </c>
      <c r="C47" s="34">
        <v>1.02</v>
      </c>
      <c r="D47" s="144" t="s">
        <v>34</v>
      </c>
      <c r="E47" s="27">
        <v>7400</v>
      </c>
      <c r="F47" s="27">
        <f>+E47*1.18</f>
        <v>8732</v>
      </c>
      <c r="G47" s="36">
        <f t="shared" si="1"/>
        <v>8906.64</v>
      </c>
      <c r="H47" s="37"/>
    </row>
    <row r="48" spans="2:8" s="4" customFormat="1" ht="18.600000000000001" customHeight="1" x14ac:dyDescent="0.3">
      <c r="B48" s="141" t="s">
        <v>209</v>
      </c>
      <c r="C48" s="34">
        <v>0.74</v>
      </c>
      <c r="D48" s="144" t="s">
        <v>34</v>
      </c>
      <c r="E48" s="27">
        <v>1279.7</v>
      </c>
      <c r="F48" s="27">
        <f>+E48*1.18</f>
        <v>1510.046</v>
      </c>
      <c r="G48" s="36">
        <f t="shared" si="1"/>
        <v>1117.4340400000001</v>
      </c>
      <c r="H48" s="35"/>
    </row>
    <row r="49" spans="2:8" s="4" customFormat="1" ht="18.600000000000001" customHeight="1" x14ac:dyDescent="0.3">
      <c r="B49" s="141" t="s">
        <v>210</v>
      </c>
      <c r="C49" s="34">
        <v>0.74</v>
      </c>
      <c r="D49" s="144" t="s">
        <v>34</v>
      </c>
      <c r="E49" s="27">
        <v>956.25</v>
      </c>
      <c r="F49" s="27">
        <v>172.13</v>
      </c>
      <c r="G49" s="36">
        <f t="shared" si="1"/>
        <v>127.3762</v>
      </c>
      <c r="H49" s="35"/>
    </row>
    <row r="50" spans="2:8" s="4" customFormat="1" ht="18.600000000000001" customHeight="1" x14ac:dyDescent="0.3">
      <c r="B50" s="141" t="s">
        <v>211</v>
      </c>
      <c r="C50" s="34">
        <v>0.1</v>
      </c>
      <c r="D50" s="144" t="s">
        <v>34</v>
      </c>
      <c r="E50" s="27">
        <v>13802.59</v>
      </c>
      <c r="F50" s="27">
        <v>13802.59</v>
      </c>
      <c r="G50" s="36">
        <f t="shared" si="1"/>
        <v>1380.259</v>
      </c>
      <c r="H50" s="35"/>
    </row>
    <row r="51" spans="2:8" s="4" customFormat="1" ht="18.600000000000001" customHeight="1" x14ac:dyDescent="0.3">
      <c r="B51" s="140" t="s">
        <v>212</v>
      </c>
      <c r="C51" s="34">
        <v>0.08</v>
      </c>
      <c r="D51" s="144" t="s">
        <v>34</v>
      </c>
      <c r="E51" s="27">
        <v>759.47</v>
      </c>
      <c r="F51" s="27">
        <v>759.47</v>
      </c>
      <c r="G51" s="36">
        <f t="shared" si="1"/>
        <v>60.757600000000004</v>
      </c>
      <c r="H51" s="35"/>
    </row>
    <row r="52" spans="2:8" s="4" customFormat="1" ht="18.600000000000001" customHeight="1" x14ac:dyDescent="0.3">
      <c r="B52" s="141" t="s">
        <v>213</v>
      </c>
      <c r="C52" s="34">
        <v>10</v>
      </c>
      <c r="D52" s="144" t="s">
        <v>214</v>
      </c>
      <c r="E52" s="27">
        <v>267.61</v>
      </c>
      <c r="F52" s="27">
        <v>267.61</v>
      </c>
      <c r="G52" s="36">
        <f t="shared" si="1"/>
        <v>2676.1000000000004</v>
      </c>
      <c r="H52" s="35"/>
    </row>
    <row r="53" spans="2:8" s="4" customFormat="1" ht="18.600000000000001" customHeight="1" x14ac:dyDescent="0.2">
      <c r="B53" s="23"/>
      <c r="C53" s="37"/>
      <c r="D53" s="37"/>
      <c r="E53" s="38"/>
      <c r="F53" s="38"/>
      <c r="G53" s="38"/>
      <c r="H53" s="37"/>
    </row>
    <row r="54" spans="2:8" s="4" customFormat="1" ht="18.600000000000001" customHeight="1" x14ac:dyDescent="0.2">
      <c r="B54" s="23"/>
      <c r="C54" s="35"/>
      <c r="D54" s="35"/>
      <c r="E54" s="34"/>
      <c r="F54" s="34"/>
      <c r="G54" s="34"/>
      <c r="H54" s="35"/>
    </row>
    <row r="55" spans="2:8" s="4" customFormat="1" ht="18.600000000000001" customHeight="1" x14ac:dyDescent="0.2">
      <c r="B55" s="140" t="s">
        <v>215</v>
      </c>
      <c r="C55" s="35"/>
      <c r="D55" s="35"/>
      <c r="E55" s="34"/>
      <c r="F55" s="34"/>
      <c r="G55" s="34"/>
      <c r="H55" s="32">
        <f>SUM(G56:G61)</f>
        <v>1597.6803200000002</v>
      </c>
    </row>
    <row r="56" spans="2:8" s="4" customFormat="1" ht="18.600000000000001" customHeight="1" x14ac:dyDescent="0.3">
      <c r="B56" s="141" t="s">
        <v>216</v>
      </c>
      <c r="C56" s="34">
        <v>1</v>
      </c>
      <c r="D56" s="144" t="s">
        <v>29</v>
      </c>
      <c r="E56" s="27">
        <v>75.09</v>
      </c>
      <c r="F56" s="27">
        <v>75.09</v>
      </c>
      <c r="G56" s="36">
        <f t="shared" ref="G56:G61" si="2">+F56*C56</f>
        <v>75.09</v>
      </c>
      <c r="H56" s="35"/>
    </row>
    <row r="57" spans="2:8" s="4" customFormat="1" ht="18.600000000000001" customHeight="1" x14ac:dyDescent="0.3">
      <c r="B57" s="141" t="s">
        <v>217</v>
      </c>
      <c r="C57" s="34">
        <v>0.105</v>
      </c>
      <c r="D57" s="144" t="s">
        <v>34</v>
      </c>
      <c r="E57" s="27">
        <v>7400</v>
      </c>
      <c r="F57" s="27">
        <f>+E57*1.18</f>
        <v>8732</v>
      </c>
      <c r="G57" s="36">
        <f t="shared" si="2"/>
        <v>916.86</v>
      </c>
      <c r="H57" s="35"/>
    </row>
    <row r="58" spans="2:8" s="4" customFormat="1" ht="18.600000000000001" customHeight="1" x14ac:dyDescent="0.3">
      <c r="B58" s="141" t="s">
        <v>218</v>
      </c>
      <c r="C58" s="34">
        <v>2.1999999999999999E-2</v>
      </c>
      <c r="D58" s="144" t="s">
        <v>34</v>
      </c>
      <c r="E58" s="27">
        <v>7400</v>
      </c>
      <c r="F58" s="27">
        <f>+E58*1.18</f>
        <v>8732</v>
      </c>
      <c r="G58" s="36">
        <f t="shared" si="2"/>
        <v>192.10399999999998</v>
      </c>
      <c r="H58" s="37"/>
    </row>
    <row r="59" spans="2:8" s="4" customFormat="1" ht="18.600000000000001" customHeight="1" x14ac:dyDescent="0.3">
      <c r="B59" s="141" t="s">
        <v>219</v>
      </c>
      <c r="C59" s="34">
        <v>8.7999999999999995E-2</v>
      </c>
      <c r="D59" s="144" t="s">
        <v>205</v>
      </c>
      <c r="E59" s="27">
        <v>253.93</v>
      </c>
      <c r="F59" s="27">
        <v>299.64</v>
      </c>
      <c r="G59" s="36">
        <f t="shared" si="2"/>
        <v>26.368319999999997</v>
      </c>
      <c r="H59" s="35"/>
    </row>
    <row r="60" spans="2:8" s="4" customFormat="1" ht="18.600000000000001" customHeight="1" x14ac:dyDescent="0.3">
      <c r="B60" s="141" t="s">
        <v>220</v>
      </c>
      <c r="C60" s="34">
        <v>1</v>
      </c>
      <c r="D60" s="144" t="s">
        <v>34</v>
      </c>
      <c r="E60" s="27">
        <v>257.17</v>
      </c>
      <c r="F60" s="27">
        <v>257.17</v>
      </c>
      <c r="G60" s="36">
        <f t="shared" si="2"/>
        <v>257.17</v>
      </c>
      <c r="H60" s="35"/>
    </row>
    <row r="61" spans="2:8" s="4" customFormat="1" ht="18.600000000000001" customHeight="1" x14ac:dyDescent="0.3">
      <c r="B61" s="141" t="s">
        <v>221</v>
      </c>
      <c r="C61" s="34">
        <v>0.8</v>
      </c>
      <c r="D61" s="144" t="s">
        <v>214</v>
      </c>
      <c r="E61" s="27">
        <v>162.61000000000001</v>
      </c>
      <c r="F61" s="27">
        <v>162.61000000000001</v>
      </c>
      <c r="G61" s="36">
        <f t="shared" si="2"/>
        <v>130.08800000000002</v>
      </c>
      <c r="H61" s="35"/>
    </row>
    <row r="62" spans="2:8" s="4" customFormat="1" ht="18.600000000000001" customHeight="1" x14ac:dyDescent="0.3">
      <c r="B62" s="23"/>
      <c r="C62" s="34"/>
      <c r="D62" s="35"/>
      <c r="E62" s="28"/>
      <c r="F62" s="28"/>
      <c r="G62" s="34"/>
      <c r="H62" s="35"/>
    </row>
    <row r="63" spans="2:8" s="4" customFormat="1" ht="18.600000000000001" customHeight="1" x14ac:dyDescent="0.3">
      <c r="B63" s="140" t="s">
        <v>222</v>
      </c>
      <c r="C63" s="34"/>
      <c r="D63" s="35"/>
      <c r="E63" s="28"/>
      <c r="F63" s="28"/>
      <c r="G63" s="143" t="s">
        <v>223</v>
      </c>
      <c r="H63" s="32">
        <f>SUM(G64:G71)</f>
        <v>1020.176</v>
      </c>
    </row>
    <row r="64" spans="2:8" s="4" customFormat="1" ht="18.600000000000001" customHeight="1" x14ac:dyDescent="0.3">
      <c r="B64" s="39" t="s">
        <v>224</v>
      </c>
      <c r="C64" s="34">
        <v>13</v>
      </c>
      <c r="D64" s="145" t="s">
        <v>225</v>
      </c>
      <c r="E64" s="36">
        <v>38</v>
      </c>
      <c r="F64" s="27">
        <f>E64*1.18</f>
        <v>44.839999999999996</v>
      </c>
      <c r="G64" s="36">
        <f t="shared" ref="G64:G71" si="3">C123*E64</f>
        <v>494</v>
      </c>
      <c r="H64" s="35"/>
    </row>
    <row r="65" spans="2:8" s="4" customFormat="1" ht="18.600000000000001" customHeight="1" x14ac:dyDescent="0.3">
      <c r="B65" s="39" t="s">
        <v>226</v>
      </c>
      <c r="C65" s="34">
        <v>3.1199999999999999E-2</v>
      </c>
      <c r="D65" s="145" t="s">
        <v>150</v>
      </c>
      <c r="E65" s="36">
        <v>3300</v>
      </c>
      <c r="F65" s="27">
        <f t="shared" ref="F65:F81" si="4">E65*1.18</f>
        <v>3894</v>
      </c>
      <c r="G65" s="36">
        <f t="shared" si="3"/>
        <v>102.96</v>
      </c>
      <c r="H65" s="35"/>
    </row>
    <row r="66" spans="2:8" s="4" customFormat="1" ht="18.600000000000001" customHeight="1" x14ac:dyDescent="0.3">
      <c r="B66" s="39" t="s">
        <v>227</v>
      </c>
      <c r="C66" s="34">
        <v>0.02</v>
      </c>
      <c r="D66" s="145" t="s">
        <v>150</v>
      </c>
      <c r="E66" s="36">
        <v>3300</v>
      </c>
      <c r="F66" s="27">
        <f t="shared" si="4"/>
        <v>3894</v>
      </c>
      <c r="G66" s="36">
        <f t="shared" si="3"/>
        <v>66</v>
      </c>
      <c r="H66" s="35"/>
    </row>
    <row r="67" spans="2:8" s="4" customFormat="1" ht="18.600000000000001" customHeight="1" x14ac:dyDescent="0.3">
      <c r="B67" s="39" t="s">
        <v>228</v>
      </c>
      <c r="C67" s="34">
        <f>0.0296*2.1</f>
        <v>6.2160000000000007E-2</v>
      </c>
      <c r="D67" s="145" t="s">
        <v>229</v>
      </c>
      <c r="E67" s="36">
        <v>2600</v>
      </c>
      <c r="F67" s="27">
        <f t="shared" si="4"/>
        <v>3068</v>
      </c>
      <c r="G67" s="36">
        <f t="shared" si="3"/>
        <v>161.61600000000001</v>
      </c>
      <c r="H67" s="35"/>
    </row>
    <row r="68" spans="2:8" s="4" customFormat="1" ht="18.600000000000001" customHeight="1" x14ac:dyDescent="0.3">
      <c r="B68" s="39" t="s">
        <v>230</v>
      </c>
      <c r="C68" s="34">
        <v>0.04</v>
      </c>
      <c r="D68" s="145" t="s">
        <v>225</v>
      </c>
      <c r="E68" s="36">
        <v>639</v>
      </c>
      <c r="F68" s="27">
        <f t="shared" si="4"/>
        <v>754.02</v>
      </c>
      <c r="G68" s="36">
        <f t="shared" si="3"/>
        <v>25.560000000000002</v>
      </c>
      <c r="H68" s="35"/>
    </row>
    <row r="69" spans="2:8" s="4" customFormat="1" ht="18.600000000000001" customHeight="1" x14ac:dyDescent="0.3">
      <c r="B69" s="39" t="s">
        <v>231</v>
      </c>
      <c r="C69" s="34">
        <v>13</v>
      </c>
      <c r="D69" s="145" t="s">
        <v>225</v>
      </c>
      <c r="E69" s="36">
        <v>0.69</v>
      </c>
      <c r="F69" s="27">
        <f t="shared" si="4"/>
        <v>0.81419999999999992</v>
      </c>
      <c r="G69" s="36">
        <f t="shared" si="3"/>
        <v>8.9699999999999989</v>
      </c>
      <c r="H69" s="35"/>
    </row>
    <row r="70" spans="2:8" s="4" customFormat="1" ht="18.600000000000001" customHeight="1" x14ac:dyDescent="0.3">
      <c r="B70" s="39" t="s">
        <v>232</v>
      </c>
      <c r="C70" s="34">
        <v>13</v>
      </c>
      <c r="D70" s="145" t="s">
        <v>225</v>
      </c>
      <c r="E70" s="36">
        <v>1.39</v>
      </c>
      <c r="F70" s="27">
        <f t="shared" si="4"/>
        <v>1.6401999999999999</v>
      </c>
      <c r="G70" s="36">
        <f t="shared" si="3"/>
        <v>18.07</v>
      </c>
      <c r="H70" s="35"/>
    </row>
    <row r="71" spans="2:8" s="4" customFormat="1" ht="18.600000000000001" customHeight="1" x14ac:dyDescent="0.3">
      <c r="B71" s="39" t="s">
        <v>233</v>
      </c>
      <c r="C71" s="34">
        <v>13</v>
      </c>
      <c r="D71" s="145" t="s">
        <v>225</v>
      </c>
      <c r="E71" s="36">
        <v>11</v>
      </c>
      <c r="F71" s="27">
        <f t="shared" si="4"/>
        <v>12.979999999999999</v>
      </c>
      <c r="G71" s="36">
        <f t="shared" si="3"/>
        <v>143</v>
      </c>
      <c r="H71" s="35"/>
    </row>
    <row r="72" spans="2:8" s="4" customFormat="1" ht="18.600000000000001" customHeight="1" x14ac:dyDescent="0.3">
      <c r="B72" s="39"/>
      <c r="C72" s="34"/>
      <c r="D72" s="34"/>
      <c r="E72" s="34"/>
      <c r="F72" s="28"/>
      <c r="G72" s="34"/>
      <c r="H72" s="35"/>
    </row>
    <row r="73" spans="2:8" s="4" customFormat="1" ht="18.600000000000001" customHeight="1" x14ac:dyDescent="0.3">
      <c r="B73" s="140" t="s">
        <v>234</v>
      </c>
      <c r="C73" s="22"/>
      <c r="D73" s="22"/>
      <c r="E73" s="22"/>
      <c r="F73" s="28"/>
      <c r="G73" s="146" t="s">
        <v>235</v>
      </c>
      <c r="H73" s="32">
        <f>SUM(G74:G81)</f>
        <v>11157.836249999998</v>
      </c>
    </row>
    <row r="74" spans="2:8" s="4" customFormat="1" ht="18.600000000000001" customHeight="1" x14ac:dyDescent="0.3">
      <c r="B74" s="40"/>
      <c r="C74" s="41"/>
      <c r="D74" s="41"/>
      <c r="E74" s="42"/>
      <c r="F74" s="27"/>
      <c r="G74" s="42"/>
      <c r="H74" s="35"/>
    </row>
    <row r="75" spans="2:8" s="4" customFormat="1" ht="18.600000000000001" customHeight="1" x14ac:dyDescent="0.3">
      <c r="B75" s="40" t="s">
        <v>236</v>
      </c>
      <c r="C75" s="41">
        <f>(1.5*1.5*0.15)+0.05</f>
        <v>0.38749999999999996</v>
      </c>
      <c r="D75" s="41" t="s">
        <v>32</v>
      </c>
      <c r="E75" s="42">
        <v>7950</v>
      </c>
      <c r="F75" s="27">
        <f t="shared" si="4"/>
        <v>9381</v>
      </c>
      <c r="G75" s="42">
        <f t="shared" ref="G75:G81" si="5">C75*E75</f>
        <v>3080.6249999999995</v>
      </c>
      <c r="H75" s="35"/>
    </row>
    <row r="76" spans="2:8" s="4" customFormat="1" ht="18.600000000000001" customHeight="1" x14ac:dyDescent="0.3">
      <c r="B76" s="40" t="s">
        <v>237</v>
      </c>
      <c r="C76" s="41">
        <v>1.28</v>
      </c>
      <c r="D76" s="41" t="s">
        <v>229</v>
      </c>
      <c r="E76" s="42">
        <v>3410</v>
      </c>
      <c r="F76" s="27">
        <f t="shared" si="4"/>
        <v>4023.7999999999997</v>
      </c>
      <c r="G76" s="42">
        <f t="shared" si="5"/>
        <v>4364.8</v>
      </c>
      <c r="H76" s="35"/>
    </row>
    <row r="77" spans="2:8" s="4" customFormat="1" ht="18.600000000000001" customHeight="1" x14ac:dyDescent="0.3">
      <c r="B77" s="40" t="s">
        <v>238</v>
      </c>
      <c r="C77" s="41">
        <f>C76*2</f>
        <v>2.56</v>
      </c>
      <c r="D77" s="41" t="s">
        <v>239</v>
      </c>
      <c r="E77" s="42">
        <v>55</v>
      </c>
      <c r="F77" s="27">
        <f t="shared" si="4"/>
        <v>64.899999999999991</v>
      </c>
      <c r="G77" s="42">
        <f t="shared" si="5"/>
        <v>140.80000000000001</v>
      </c>
      <c r="H77" s="35"/>
    </row>
    <row r="78" spans="2:8" s="4" customFormat="1" ht="18.600000000000001" customHeight="1" x14ac:dyDescent="0.3">
      <c r="B78" s="40" t="s">
        <v>240</v>
      </c>
      <c r="C78" s="41">
        <f>C76</f>
        <v>1.28</v>
      </c>
      <c r="D78" s="41" t="s">
        <v>229</v>
      </c>
      <c r="E78" s="42">
        <v>450</v>
      </c>
      <c r="F78" s="27">
        <f t="shared" si="4"/>
        <v>531</v>
      </c>
      <c r="G78" s="42">
        <f t="shared" si="5"/>
        <v>576</v>
      </c>
      <c r="H78" s="35"/>
    </row>
    <row r="79" spans="2:8" s="4" customFormat="1" ht="18.600000000000001" customHeight="1" x14ac:dyDescent="0.3">
      <c r="B79" s="40" t="s">
        <v>241</v>
      </c>
      <c r="C79" s="43">
        <f>1.5*4</f>
        <v>6</v>
      </c>
      <c r="D79" s="41" t="s">
        <v>32</v>
      </c>
      <c r="E79" s="42">
        <v>150</v>
      </c>
      <c r="F79" s="27">
        <f t="shared" si="4"/>
        <v>177</v>
      </c>
      <c r="G79" s="42">
        <f t="shared" si="5"/>
        <v>900</v>
      </c>
      <c r="H79" s="35"/>
    </row>
    <row r="80" spans="2:8" s="4" customFormat="1" ht="18.600000000000001" customHeight="1" x14ac:dyDescent="0.3">
      <c r="B80" s="40" t="s">
        <v>242</v>
      </c>
      <c r="C80" s="41">
        <f>1.5*1.5</f>
        <v>2.25</v>
      </c>
      <c r="D80" s="41" t="s">
        <v>223</v>
      </c>
      <c r="E80" s="42">
        <v>750</v>
      </c>
      <c r="F80" s="27">
        <f t="shared" si="4"/>
        <v>885</v>
      </c>
      <c r="G80" s="42">
        <f t="shared" si="5"/>
        <v>1687.5</v>
      </c>
      <c r="H80" s="35"/>
    </row>
    <row r="81" spans="2:8" s="4" customFormat="1" ht="18.600000000000001" customHeight="1" x14ac:dyDescent="0.3">
      <c r="B81" s="40" t="s">
        <v>243</v>
      </c>
      <c r="C81" s="41">
        <v>0.05</v>
      </c>
      <c r="D81" s="41" t="s">
        <v>82</v>
      </c>
      <c r="E81" s="42">
        <f>SUM(G75:G78)</f>
        <v>8162.2249999999995</v>
      </c>
      <c r="F81" s="27">
        <f t="shared" si="4"/>
        <v>9631.4254999999994</v>
      </c>
      <c r="G81" s="42">
        <f t="shared" si="5"/>
        <v>408.11124999999998</v>
      </c>
      <c r="H81" s="35"/>
    </row>
    <row r="82" spans="2:8" s="4" customFormat="1" ht="18.600000000000001" customHeight="1" x14ac:dyDescent="0.3">
      <c r="B82" s="40"/>
      <c r="C82" s="41"/>
      <c r="D82" s="41"/>
      <c r="E82" s="41"/>
      <c r="F82" s="28"/>
      <c r="G82" s="43"/>
      <c r="H82" s="35"/>
    </row>
    <row r="83" spans="2:8" s="4" customFormat="1" ht="18.600000000000001" customHeight="1" x14ac:dyDescent="0.3">
      <c r="B83" s="40"/>
      <c r="C83" s="41"/>
      <c r="D83" s="41"/>
      <c r="E83" s="41"/>
      <c r="F83" s="28"/>
      <c r="G83" s="43"/>
      <c r="H83" s="35"/>
    </row>
    <row r="84" spans="2:8" s="4" customFormat="1" ht="18.600000000000001" customHeight="1" x14ac:dyDescent="0.3">
      <c r="B84" s="140" t="s">
        <v>244</v>
      </c>
      <c r="C84" s="41"/>
      <c r="D84" s="41"/>
      <c r="E84" s="41"/>
      <c r="F84" s="28"/>
      <c r="G84" s="43"/>
      <c r="H84" s="35"/>
    </row>
    <row r="85" spans="2:8" s="4" customFormat="1" ht="18.600000000000001" customHeight="1" x14ac:dyDescent="0.3">
      <c r="B85" s="40"/>
      <c r="C85" s="41"/>
      <c r="D85" s="41"/>
      <c r="E85" s="41"/>
      <c r="F85" s="28"/>
      <c r="G85" s="43"/>
      <c r="H85" s="32">
        <f>SUM(G86:G97)</f>
        <v>82020.492560000013</v>
      </c>
    </row>
    <row r="86" spans="2:8" s="4" customFormat="1" ht="18.600000000000001" customHeight="1" x14ac:dyDescent="0.3">
      <c r="B86" s="40" t="s">
        <v>245</v>
      </c>
      <c r="C86" s="28">
        <f>1.5*1.5*2</f>
        <v>4.5</v>
      </c>
      <c r="D86" s="147" t="s">
        <v>246</v>
      </c>
      <c r="E86" s="27">
        <v>1800</v>
      </c>
      <c r="F86" s="27">
        <f>E86*1.18</f>
        <v>2124</v>
      </c>
      <c r="G86" s="43">
        <f>F86*C86</f>
        <v>9558</v>
      </c>
      <c r="H86" s="35"/>
    </row>
    <row r="87" spans="2:8" s="4" customFormat="1" ht="18.600000000000001" customHeight="1" x14ac:dyDescent="0.3">
      <c r="B87" s="40" t="s">
        <v>247</v>
      </c>
      <c r="C87" s="28">
        <v>16.239999999999998</v>
      </c>
      <c r="D87" s="147" t="s">
        <v>248</v>
      </c>
      <c r="E87" s="27">
        <v>75</v>
      </c>
      <c r="F87" s="27">
        <f t="shared" ref="F87:F97" si="6">E87*1.18</f>
        <v>88.5</v>
      </c>
      <c r="G87" s="43">
        <f t="shared" ref="G87:G97" si="7">F87*C87</f>
        <v>1437.2399999999998</v>
      </c>
      <c r="H87" s="35"/>
    </row>
    <row r="88" spans="2:8" s="4" customFormat="1" ht="18.600000000000001" customHeight="1" x14ac:dyDescent="0.3">
      <c r="B88" s="40" t="s">
        <v>249</v>
      </c>
      <c r="C88" s="28">
        <v>8</v>
      </c>
      <c r="D88" s="147" t="s">
        <v>250</v>
      </c>
      <c r="E88" s="27">
        <v>350</v>
      </c>
      <c r="F88" s="27">
        <f t="shared" si="6"/>
        <v>413</v>
      </c>
      <c r="G88" s="43">
        <f t="shared" si="7"/>
        <v>3304</v>
      </c>
      <c r="H88" s="35"/>
    </row>
    <row r="89" spans="2:8" s="4" customFormat="1" ht="18.600000000000001" customHeight="1" x14ac:dyDescent="0.3">
      <c r="B89" s="40" t="s">
        <v>251</v>
      </c>
      <c r="C89" s="28">
        <v>0.63</v>
      </c>
      <c r="D89" s="147" t="s">
        <v>34</v>
      </c>
      <c r="E89" s="27">
        <v>9381</v>
      </c>
      <c r="F89" s="27">
        <f t="shared" si="6"/>
        <v>11069.58</v>
      </c>
      <c r="G89" s="43">
        <f t="shared" si="7"/>
        <v>6973.8353999999999</v>
      </c>
      <c r="H89" s="35"/>
    </row>
    <row r="90" spans="2:8" s="4" customFormat="1" ht="18.600000000000001" customHeight="1" x14ac:dyDescent="0.3">
      <c r="B90" s="40" t="s">
        <v>252</v>
      </c>
      <c r="C90" s="28">
        <v>0.63</v>
      </c>
      <c r="D90" s="147" t="s">
        <v>150</v>
      </c>
      <c r="E90" s="27">
        <v>9381</v>
      </c>
      <c r="F90" s="27">
        <f t="shared" si="6"/>
        <v>11069.58</v>
      </c>
      <c r="G90" s="43">
        <f t="shared" si="7"/>
        <v>6973.8353999999999</v>
      </c>
      <c r="H90" s="35"/>
    </row>
    <row r="91" spans="2:8" s="4" customFormat="1" ht="18.600000000000001" customHeight="1" x14ac:dyDescent="0.3">
      <c r="B91" s="40" t="s">
        <v>253</v>
      </c>
      <c r="C91" s="28">
        <f>11.2*0.2</f>
        <v>2.2399999999999998</v>
      </c>
      <c r="D91" s="147" t="s">
        <v>150</v>
      </c>
      <c r="E91" s="27">
        <v>9381</v>
      </c>
      <c r="F91" s="27">
        <f t="shared" si="6"/>
        <v>11069.58</v>
      </c>
      <c r="G91" s="43">
        <f t="shared" si="7"/>
        <v>24795.859199999999</v>
      </c>
      <c r="H91" s="35"/>
    </row>
    <row r="92" spans="2:8" s="4" customFormat="1" ht="18.600000000000001" customHeight="1" x14ac:dyDescent="0.3">
      <c r="B92" s="40" t="s">
        <v>254</v>
      </c>
      <c r="C92" s="28">
        <v>11.2</v>
      </c>
      <c r="D92" s="147" t="s">
        <v>255</v>
      </c>
      <c r="E92" s="27">
        <v>375.66</v>
      </c>
      <c r="F92" s="27">
        <f t="shared" si="6"/>
        <v>443.27879999999999</v>
      </c>
      <c r="G92" s="43">
        <f t="shared" si="7"/>
        <v>4964.7225599999992</v>
      </c>
      <c r="H92" s="35"/>
    </row>
    <row r="93" spans="2:8" s="4" customFormat="1" ht="18.600000000000001" customHeight="1" x14ac:dyDescent="0.3">
      <c r="B93" s="40" t="s">
        <v>256</v>
      </c>
      <c r="C93" s="28">
        <v>2</v>
      </c>
      <c r="D93" s="147" t="s">
        <v>257</v>
      </c>
      <c r="E93" s="27">
        <v>1500</v>
      </c>
      <c r="F93" s="27">
        <f t="shared" si="6"/>
        <v>1770</v>
      </c>
      <c r="G93" s="43">
        <f t="shared" si="7"/>
        <v>3540</v>
      </c>
      <c r="H93" s="35"/>
    </row>
    <row r="94" spans="2:8" s="4" customFormat="1" ht="18.600000000000001" customHeight="1" x14ac:dyDescent="0.3">
      <c r="B94" s="40" t="s">
        <v>258</v>
      </c>
      <c r="C94" s="28">
        <v>1</v>
      </c>
      <c r="D94" s="147" t="s">
        <v>257</v>
      </c>
      <c r="E94" s="27">
        <v>6000</v>
      </c>
      <c r="F94" s="27">
        <f t="shared" si="6"/>
        <v>7080</v>
      </c>
      <c r="G94" s="43">
        <f t="shared" si="7"/>
        <v>7080</v>
      </c>
      <c r="H94" s="35"/>
    </row>
    <row r="95" spans="2:8" s="4" customFormat="1" ht="18.600000000000001" customHeight="1" x14ac:dyDescent="0.3">
      <c r="B95" s="40" t="s">
        <v>259</v>
      </c>
      <c r="C95" s="28">
        <v>1</v>
      </c>
      <c r="D95" s="147" t="s">
        <v>257</v>
      </c>
      <c r="E95" s="27">
        <v>7500</v>
      </c>
      <c r="F95" s="27">
        <f t="shared" si="6"/>
        <v>8850</v>
      </c>
      <c r="G95" s="43">
        <f t="shared" si="7"/>
        <v>8850</v>
      </c>
      <c r="H95" s="35"/>
    </row>
    <row r="96" spans="2:8" s="4" customFormat="1" ht="18.600000000000001" customHeight="1" x14ac:dyDescent="0.3">
      <c r="B96" s="40" t="s">
        <v>260</v>
      </c>
      <c r="C96" s="28">
        <v>1</v>
      </c>
      <c r="D96" s="147" t="s">
        <v>261</v>
      </c>
      <c r="E96" s="27">
        <v>1350</v>
      </c>
      <c r="F96" s="27">
        <f t="shared" si="6"/>
        <v>1593</v>
      </c>
      <c r="G96" s="43">
        <f t="shared" si="7"/>
        <v>1593</v>
      </c>
      <c r="H96" s="35"/>
    </row>
    <row r="97" spans="2:11" s="4" customFormat="1" ht="18.600000000000001" customHeight="1" x14ac:dyDescent="0.3">
      <c r="B97" s="40" t="s">
        <v>262</v>
      </c>
      <c r="C97" s="28">
        <v>1</v>
      </c>
      <c r="D97" s="147" t="s">
        <v>261</v>
      </c>
      <c r="E97" s="27">
        <v>2500</v>
      </c>
      <c r="F97" s="27">
        <f t="shared" si="6"/>
        <v>2950</v>
      </c>
      <c r="G97" s="43">
        <f t="shared" si="7"/>
        <v>2950</v>
      </c>
      <c r="H97" s="35"/>
    </row>
    <row r="98" spans="2:11" s="4" customFormat="1" ht="18.600000000000001" customHeight="1" x14ac:dyDescent="0.3">
      <c r="B98" s="23"/>
      <c r="C98" s="34"/>
      <c r="D98" s="34"/>
      <c r="E98" s="28"/>
      <c r="F98" s="28"/>
      <c r="G98" s="34"/>
      <c r="H98" s="35"/>
    </row>
    <row r="99" spans="2:11" s="4" customFormat="1" ht="18.600000000000001" customHeight="1" x14ac:dyDescent="0.3">
      <c r="B99" s="140" t="s">
        <v>62</v>
      </c>
      <c r="C99" s="34"/>
      <c r="D99" s="34"/>
      <c r="E99" s="28"/>
      <c r="F99" s="28"/>
      <c r="G99" s="34"/>
      <c r="H99" s="35"/>
    </row>
    <row r="100" spans="2:11" s="4" customFormat="1" ht="18.600000000000001" customHeight="1" x14ac:dyDescent="0.3">
      <c r="B100" s="141" t="s">
        <v>263</v>
      </c>
      <c r="C100" s="34">
        <v>1</v>
      </c>
      <c r="D100" s="145" t="s">
        <v>257</v>
      </c>
      <c r="E100" s="27">
        <v>250000</v>
      </c>
      <c r="F100" s="27">
        <f>E100*1.18</f>
        <v>295000</v>
      </c>
      <c r="G100" s="28">
        <f>F100*C100</f>
        <v>295000</v>
      </c>
      <c r="H100" s="35"/>
    </row>
    <row r="101" spans="2:11" s="4" customFormat="1" ht="18.600000000000001" customHeight="1" x14ac:dyDescent="0.3">
      <c r="B101" s="23"/>
      <c r="C101" s="34"/>
      <c r="D101" s="34"/>
      <c r="E101" s="28"/>
      <c r="F101" s="28"/>
      <c r="G101" s="34"/>
      <c r="H101" s="35"/>
    </row>
    <row r="102" spans="2:11" s="4" customFormat="1" ht="18.600000000000001" customHeight="1" x14ac:dyDescent="0.3">
      <c r="B102" s="23"/>
      <c r="C102" s="34"/>
      <c r="D102" s="34"/>
      <c r="E102" s="28"/>
      <c r="F102" s="28"/>
      <c r="G102" s="34"/>
      <c r="H102" s="35"/>
    </row>
    <row r="103" spans="2:11" s="4" customFormat="1" ht="18.600000000000001" customHeight="1" x14ac:dyDescent="0.3">
      <c r="B103" s="23"/>
      <c r="C103" s="34"/>
      <c r="D103" s="34"/>
      <c r="E103" s="28"/>
      <c r="F103" s="28"/>
      <c r="G103" s="34"/>
      <c r="H103" s="35"/>
    </row>
    <row r="104" spans="2:11" s="4" customFormat="1" ht="18.600000000000001" customHeight="1" x14ac:dyDescent="0.3">
      <c r="B104" s="23"/>
      <c r="C104" s="34"/>
      <c r="D104" s="34"/>
      <c r="E104" s="28"/>
      <c r="F104" s="28"/>
      <c r="G104" s="34"/>
      <c r="H104" s="35"/>
    </row>
    <row r="105" spans="2:11" s="4" customFormat="1" ht="18.600000000000001" customHeight="1" x14ac:dyDescent="0.3">
      <c r="B105" s="23"/>
      <c r="C105" s="34"/>
      <c r="D105" s="34"/>
      <c r="E105" s="28"/>
      <c r="F105" s="28"/>
      <c r="G105" s="34"/>
      <c r="H105" s="35"/>
    </row>
    <row r="106" spans="2:11" s="4" customFormat="1" ht="18.600000000000001" customHeight="1" x14ac:dyDescent="0.3">
      <c r="B106" s="40"/>
      <c r="C106" s="28"/>
      <c r="D106" s="28"/>
      <c r="E106" s="28"/>
      <c r="F106" s="28"/>
      <c r="G106" s="43"/>
      <c r="H106" s="35"/>
    </row>
    <row r="107" spans="2:11" s="4" customFormat="1" ht="18.600000000000001" customHeight="1" x14ac:dyDescent="0.3">
      <c r="B107" s="23"/>
      <c r="C107" s="34"/>
      <c r="D107" s="34"/>
      <c r="E107" s="28"/>
      <c r="F107" s="28"/>
      <c r="G107" s="34"/>
      <c r="H107" s="35"/>
    </row>
    <row r="108" spans="2:11" s="4" customFormat="1" ht="18.600000000000001" customHeight="1" x14ac:dyDescent="0.2"/>
    <row r="109" spans="2:11" s="5" customFormat="1" ht="15" x14ac:dyDescent="0.25">
      <c r="B109" s="44"/>
      <c r="D109" s="45"/>
      <c r="K109" s="46"/>
    </row>
    <row r="110" spans="2:11" s="5" customFormat="1" ht="15.6" x14ac:dyDescent="0.25">
      <c r="B110" s="44"/>
      <c r="C110" s="47" t="s">
        <v>264</v>
      </c>
      <c r="D110" s="45"/>
      <c r="K110" s="46"/>
    </row>
    <row r="111" spans="2:11" s="5" customFormat="1" ht="15.6" x14ac:dyDescent="0.25">
      <c r="B111" s="44"/>
      <c r="C111" s="47" t="s">
        <v>265</v>
      </c>
      <c r="D111" s="45"/>
      <c r="K111" s="46"/>
    </row>
    <row r="112" spans="2:11" s="5" customFormat="1" ht="15" x14ac:dyDescent="0.25">
      <c r="B112" s="44"/>
      <c r="D112" s="45"/>
      <c r="K112" s="46"/>
    </row>
    <row r="113" spans="2:11" s="5" customFormat="1" ht="27.75" customHeight="1" x14ac:dyDescent="0.25">
      <c r="B113" s="44"/>
      <c r="C113" s="225" t="s">
        <v>266</v>
      </c>
      <c r="D113" s="225"/>
      <c r="E113" s="225"/>
      <c r="F113" s="225"/>
      <c r="G113" s="225"/>
      <c r="H113" s="225"/>
      <c r="K113" s="46"/>
    </row>
    <row r="114" spans="2:11" s="5" customFormat="1" ht="15" x14ac:dyDescent="0.25">
      <c r="B114" s="44"/>
      <c r="C114" s="225"/>
      <c r="D114" s="225"/>
      <c r="E114" s="225"/>
      <c r="F114" s="225"/>
      <c r="G114" s="225"/>
      <c r="H114" s="225"/>
      <c r="K114" s="46"/>
    </row>
    <row r="115" spans="2:11" s="5" customFormat="1" ht="15.6" x14ac:dyDescent="0.3">
      <c r="B115" s="44"/>
      <c r="C115" s="188" t="s">
        <v>269</v>
      </c>
      <c r="D115" s="188"/>
      <c r="E115" s="188"/>
      <c r="F115" s="188"/>
      <c r="G115" s="188"/>
      <c r="H115" s="188"/>
      <c r="K115" s="46"/>
    </row>
    <row r="116" spans="2:11" s="6" customFormat="1" ht="15.6" x14ac:dyDescent="0.25"/>
    <row r="117" spans="2:11" s="6" customFormat="1" ht="15.6" x14ac:dyDescent="0.25">
      <c r="E117" s="49"/>
      <c r="F117" s="50"/>
      <c r="G117" s="50"/>
      <c r="H117" s="50"/>
    </row>
    <row r="118" spans="2:11" s="5" customFormat="1" ht="15" x14ac:dyDescent="0.25"/>
    <row r="119" spans="2:11" s="5" customFormat="1" ht="15" x14ac:dyDescent="0.25"/>
    <row r="120" spans="2:11" s="5" customFormat="1" ht="15" x14ac:dyDescent="0.25"/>
    <row r="121" spans="2:11" s="5" customFormat="1" ht="15" x14ac:dyDescent="0.25"/>
    <row r="122" spans="2:11" s="5" customFormat="1" ht="15" hidden="1" x14ac:dyDescent="0.25">
      <c r="C122" s="51"/>
      <c r="D122" s="52"/>
    </row>
    <row r="123" spans="2:11" s="5" customFormat="1" ht="15" hidden="1" x14ac:dyDescent="0.25">
      <c r="C123" s="53">
        <v>13</v>
      </c>
      <c r="D123" s="54" t="s">
        <v>225</v>
      </c>
    </row>
    <row r="124" spans="2:11" s="5" customFormat="1" ht="15" hidden="1" x14ac:dyDescent="0.25">
      <c r="C124" s="53">
        <v>3.1199999999999999E-2</v>
      </c>
      <c r="D124" s="54" t="s">
        <v>150</v>
      </c>
    </row>
    <row r="125" spans="2:11" s="5" customFormat="1" ht="15" hidden="1" x14ac:dyDescent="0.25">
      <c r="C125" s="53">
        <v>0.02</v>
      </c>
      <c r="D125" s="54" t="s">
        <v>150</v>
      </c>
    </row>
    <row r="126" spans="2:11" s="5" customFormat="1" ht="15" hidden="1" x14ac:dyDescent="0.25">
      <c r="C126" s="53">
        <f>0.0296*2.1</f>
        <v>6.2160000000000007E-2</v>
      </c>
      <c r="D126" s="54" t="s">
        <v>229</v>
      </c>
    </row>
    <row r="127" spans="2:11" s="5" customFormat="1" ht="15" hidden="1" x14ac:dyDescent="0.25">
      <c r="C127" s="53">
        <v>0.04</v>
      </c>
      <c r="D127" s="54" t="s">
        <v>225</v>
      </c>
    </row>
    <row r="128" spans="2:11" s="5" customFormat="1" ht="15" hidden="1" x14ac:dyDescent="0.25">
      <c r="C128" s="53">
        <v>13</v>
      </c>
      <c r="D128" s="54" t="s">
        <v>225</v>
      </c>
    </row>
    <row r="129" spans="3:4" hidden="1" x14ac:dyDescent="0.25">
      <c r="C129" s="53">
        <v>13</v>
      </c>
      <c r="D129" s="54" t="s">
        <v>225</v>
      </c>
    </row>
    <row r="130" spans="3:4" hidden="1" x14ac:dyDescent="0.25">
      <c r="C130" s="53">
        <v>13</v>
      </c>
      <c r="D130" s="54" t="s">
        <v>225</v>
      </c>
    </row>
    <row r="131" spans="3:4" hidden="1" x14ac:dyDescent="0.25"/>
    <row r="138" spans="3:4" ht="10.5" customHeight="1" x14ac:dyDescent="0.25"/>
    <row r="139" spans="3:4" ht="16.5" customHeight="1" x14ac:dyDescent="0.25"/>
    <row r="140" spans="3:4" ht="9.75" customHeight="1" x14ac:dyDescent="0.25"/>
    <row r="144" spans="3:4" ht="12.75" customHeight="1" x14ac:dyDescent="0.25"/>
    <row r="154" ht="12.75" customHeight="1" x14ac:dyDescent="0.25"/>
    <row r="161" ht="13.5" customHeight="1" x14ac:dyDescent="0.25"/>
  </sheetData>
  <mergeCells count="16">
    <mergeCell ref="B3:H3"/>
    <mergeCell ref="B4:H4"/>
    <mergeCell ref="B5:H5"/>
    <mergeCell ref="B6:H6"/>
    <mergeCell ref="B7:H7"/>
    <mergeCell ref="B9:H9"/>
    <mergeCell ref="B10:H10"/>
    <mergeCell ref="B12:H12"/>
    <mergeCell ref="B13:H13"/>
    <mergeCell ref="B14:H14"/>
    <mergeCell ref="B15:H15"/>
    <mergeCell ref="C115:H115"/>
    <mergeCell ref="B16:B18"/>
    <mergeCell ref="C113:H114"/>
    <mergeCell ref="C16:E18"/>
    <mergeCell ref="F16:H18"/>
  </mergeCells>
  <pageMargins left="1.5" right="0.25" top="2" bottom="0.25" header="0.3" footer="0.3"/>
  <pageSetup scale="50" orientation="landscape" horizontalDpi="360" verticalDpi="360" r:id="rId1"/>
  <rowBreaks count="2" manualBreakCount="2">
    <brk id="53" max="8" man="1"/>
    <brk id="8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pres. Nuevo Cem. Montellano</vt:lpstr>
      <vt:lpstr>pres. Montellano (REFORMULADO)</vt:lpstr>
      <vt:lpstr>An. Costo Cement. Montellano  </vt:lpstr>
      <vt:lpstr>Ana. Cost. Cementerio</vt:lpstr>
      <vt:lpstr>'An. Costo Cement. Montellano  '!Área_de_impresión</vt:lpstr>
      <vt:lpstr>'Ana. Cost. Cementerio'!Área_de_impresión</vt:lpstr>
      <vt:lpstr>'pres. Nuevo Cem. Montellano'!Área_de_impresión</vt:lpstr>
      <vt:lpstr>'An. Costo Cement. Montellano  '!Títulos_a_imprimir</vt:lpstr>
      <vt:lpstr>'Ana. Cost. Cementerio'!Títulos_a_imprimir</vt:lpstr>
    </vt:vector>
  </TitlesOfParts>
  <Company>DE ACERO INDUSTRIAL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HTS</dc:creator>
  <cp:lastModifiedBy>Lesly Katherine Sanchez</cp:lastModifiedBy>
  <cp:lastPrinted>2026-01-23T01:40:24Z</cp:lastPrinted>
  <dcterms:created xsi:type="dcterms:W3CDTF">2004-09-27T06:14:43Z</dcterms:created>
  <dcterms:modified xsi:type="dcterms:W3CDTF">2026-05-20T18:11:53Z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8ADAEAD37BDE4523A4BD9D6A0C0659A2_13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